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634" firstSheet="7" activeTab="12"/>
  </bookViews>
  <sheets>
    <sheet name="Main calculation" sheetId="1" r:id="rId1"/>
    <sheet name="Construction Investment" sheetId="2" r:id="rId2"/>
    <sheet name="Time" sheetId="3" r:id="rId3"/>
    <sheet name="Op cost New Public Vehicles" sheetId="4" r:id="rId4"/>
    <sheet name="Op cost NO New Vehicles" sheetId="5" r:id="rId5"/>
    <sheet name="Pollutants New Vehicles" sheetId="6" r:id="rId6"/>
    <sheet name="Pollutants Public Transport" sheetId="7" r:id="rId7"/>
    <sheet name="Pollutants Private Cars" sheetId="8" r:id="rId8"/>
    <sheet name="Safety" sheetId="9" r:id="rId9"/>
    <sheet name="Noise" sheetId="10" r:id="rId10"/>
    <sheet name="Health" sheetId="11" r:id="rId11"/>
    <sheet name="Ticket income and user charges" sheetId="12" r:id="rId12"/>
    <sheet name="Monetary Values" sheetId="13" r:id="rId13"/>
  </sheets>
  <definedNames>
    <definedName name="Country">'Monetary Values'!$D$3:$G$3</definedName>
  </definedNames>
  <calcPr fullCalcOnLoad="1"/>
</workbook>
</file>

<file path=xl/sharedStrings.xml><?xml version="1.0" encoding="utf-8"?>
<sst xmlns="http://schemas.openxmlformats.org/spreadsheetml/2006/main" count="509" uniqueCount="303">
  <si>
    <t>Year</t>
  </si>
  <si>
    <t>DO NOTHING</t>
  </si>
  <si>
    <t>DO SOMETHING</t>
  </si>
  <si>
    <t>CONSTRUCTION AND OPERATING COSTS</t>
  </si>
  <si>
    <t>Total benefit (discounted) (=DN impact minus DS impact)</t>
  </si>
  <si>
    <t>Value of travel time on the network, per year</t>
  </si>
  <si>
    <t>Vehicle operating cost on the network, per year</t>
  </si>
  <si>
    <t>Value of air pollution on the network, per year</t>
  </si>
  <si>
    <t>Net present value (total benefits minus total costs)</t>
  </si>
  <si>
    <t>Average vehicle occupancy</t>
  </si>
  <si>
    <t>Annualisation factor</t>
  </si>
  <si>
    <t>Country</t>
  </si>
  <si>
    <t>Discount rate</t>
  </si>
  <si>
    <t>Currency rates: 2013, M1, table values rounded</t>
  </si>
  <si>
    <t>SEK</t>
  </si>
  <si>
    <t>EURg</t>
  </si>
  <si>
    <t>EURs</t>
  </si>
  <si>
    <t>PLN</t>
  </si>
  <si>
    <t>HRK</t>
  </si>
  <si>
    <t>Currency rates</t>
  </si>
  <si>
    <t>Converter</t>
  </si>
  <si>
    <t>GDP per capita in PPS, index</t>
  </si>
  <si>
    <t>PPS</t>
  </si>
  <si>
    <t/>
  </si>
  <si>
    <t>Adjusted currency rates</t>
  </si>
  <si>
    <t>Period</t>
  </si>
  <si>
    <t>type</t>
  </si>
  <si>
    <t>year</t>
  </si>
  <si>
    <t>minor measures</t>
  </si>
  <si>
    <t>buses</t>
  </si>
  <si>
    <t>minor infrastructure</t>
  </si>
  <si>
    <t>larger infrastructure</t>
  </si>
  <si>
    <t>Time value</t>
  </si>
  <si>
    <t>SEK/h</t>
  </si>
  <si>
    <t>EURg/h</t>
  </si>
  <si>
    <t>EURs/h</t>
  </si>
  <si>
    <t>PLN/h</t>
  </si>
  <si>
    <t>HRK/h</t>
  </si>
  <si>
    <t>car</t>
  </si>
  <si>
    <t>bus ride</t>
  </si>
  <si>
    <t>bus, wait</t>
  </si>
  <si>
    <t>bus, change</t>
  </si>
  <si>
    <t>bike, mix</t>
  </si>
  <si>
    <t>bike, sep lane</t>
  </si>
  <si>
    <t>walk</t>
  </si>
  <si>
    <t>walk, poor env</t>
  </si>
  <si>
    <t>Traffic safety</t>
  </si>
  <si>
    <t>fatality</t>
  </si>
  <si>
    <t>severe inj</t>
  </si>
  <si>
    <t>minor inj</t>
  </si>
  <si>
    <t>property</t>
  </si>
  <si>
    <t>bicyclist acc value</t>
  </si>
  <si>
    <t xml:space="preserve">risk, acc./mill. km </t>
  </si>
  <si>
    <t>Reduction, mix to sep. lane</t>
  </si>
  <si>
    <t>pedestrian acc value</t>
  </si>
  <si>
    <t>Reduction, street to ped zone</t>
  </si>
  <si>
    <t>Noise</t>
  </si>
  <si>
    <t>eqv level, dB(a)</t>
  </si>
  <si>
    <t>SEK/person</t>
  </si>
  <si>
    <t>EURg/person</t>
  </si>
  <si>
    <t>EURs/person</t>
  </si>
  <si>
    <t>PLN/person</t>
  </si>
  <si>
    <t>HRK/person</t>
  </si>
  <si>
    <t>Emissions</t>
  </si>
  <si>
    <t>situation</t>
  </si>
  <si>
    <t>SEK/kg</t>
  </si>
  <si>
    <t>EURg/kg</t>
  </si>
  <si>
    <t>EURs/kg</t>
  </si>
  <si>
    <t>PLN/kg</t>
  </si>
  <si>
    <t>HRK/kg</t>
  </si>
  <si>
    <t>Particles</t>
  </si>
  <si>
    <t>Large city, city centre</t>
  </si>
  <si>
    <t>Large city, suburb</t>
  </si>
  <si>
    <t>Mids-sized city</t>
  </si>
  <si>
    <t>Small city</t>
  </si>
  <si>
    <t>VOC/HC</t>
  </si>
  <si>
    <t>SO2</t>
  </si>
  <si>
    <t>NOX</t>
  </si>
  <si>
    <t>CO2</t>
  </si>
  <si>
    <t>short term</t>
  </si>
  <si>
    <t>long term</t>
  </si>
  <si>
    <t>Germany</t>
  </si>
  <si>
    <t>Spain</t>
  </si>
  <si>
    <t>Poland</t>
  </si>
  <si>
    <t>Croatia</t>
  </si>
  <si>
    <t>Value of noise on the network, per year</t>
  </si>
  <si>
    <t>User charges (usually fares but could be parking income)</t>
  </si>
  <si>
    <t xml:space="preserve">Bus </t>
  </si>
  <si>
    <t>Bus</t>
  </si>
  <si>
    <t>Bike</t>
  </si>
  <si>
    <t>Car</t>
  </si>
  <si>
    <t>Walk</t>
  </si>
  <si>
    <t>Pedestrians</t>
  </si>
  <si>
    <t>Bikes</t>
  </si>
  <si>
    <t>Cars</t>
  </si>
  <si>
    <t>Pedestrians per day (affected by the measure)</t>
  </si>
  <si>
    <t>Bikes per day (affected by the measure)</t>
  </si>
  <si>
    <t>Cars per day (affected by the measure)</t>
  </si>
  <si>
    <t>Size of city</t>
  </si>
  <si>
    <t>Total costs (discounted)</t>
  </si>
  <si>
    <t>Large city, average</t>
  </si>
  <si>
    <t>Hydrocarbons</t>
  </si>
  <si>
    <t>NOx</t>
  </si>
  <si>
    <t>Situation</t>
  </si>
  <si>
    <t>TAG unit The Accidents Sub-Objective page 3 average casualties total value</t>
  </si>
  <si>
    <t>Number of accidents on network per year</t>
  </si>
  <si>
    <t>Total cost</t>
  </si>
  <si>
    <t>Total benefit</t>
  </si>
  <si>
    <t>Total value of health</t>
  </si>
  <si>
    <t>Total operating costs per year</t>
  </si>
  <si>
    <t xml:space="preserve">Value of noise on the network per year </t>
  </si>
  <si>
    <t>Distance travelled per vehicle per year</t>
  </si>
  <si>
    <t>Number of vehicles (being replaced)</t>
  </si>
  <si>
    <t>Instructions</t>
  </si>
  <si>
    <t>Indata</t>
  </si>
  <si>
    <t>Size of city (population)</t>
  </si>
  <si>
    <t>PPS 2012</t>
  </si>
  <si>
    <t>GBP</t>
  </si>
  <si>
    <t>Type</t>
  </si>
  <si>
    <t>Average value of prevention per casualty (2010 values and prices)</t>
  </si>
  <si>
    <t>Ticket income (or parking income) on the network, per year</t>
  </si>
  <si>
    <t>Bus ride</t>
  </si>
  <si>
    <t>Bus, wait</t>
  </si>
  <si>
    <t>Bus, change</t>
  </si>
  <si>
    <t>Bike, mix</t>
  </si>
  <si>
    <t>Bike, sep lane</t>
  </si>
  <si>
    <t>Walk, poor env</t>
  </si>
  <si>
    <t>Total operating cost</t>
  </si>
  <si>
    <t>Net Present Value</t>
  </si>
  <si>
    <t>Benefit-Cost Ratio</t>
  </si>
  <si>
    <t>Mode</t>
  </si>
  <si>
    <t>Travel time on link or network per pedestrian, minutes (that is affected by measure)</t>
  </si>
  <si>
    <t>Travel time on link or network per car occupant minutes (that is affected by measure)</t>
  </si>
  <si>
    <t>source from Tom 2009 value</t>
  </si>
  <si>
    <t>Total value of average accident</t>
  </si>
  <si>
    <t>GBP/km</t>
  </si>
  <si>
    <t>EURg/km</t>
  </si>
  <si>
    <t>PLN/km</t>
  </si>
  <si>
    <t>HRK/km</t>
  </si>
  <si>
    <t>EURs/km</t>
  </si>
  <si>
    <t>https://www.gov.uk/government/uploads/system/uploads/attachment_data/file/51151/msb-technical-report.pdf</t>
  </si>
  <si>
    <t>EURg/vehicle km</t>
  </si>
  <si>
    <t>EURs/vehicle km</t>
  </si>
  <si>
    <t>PLN/vehicle km</t>
  </si>
  <si>
    <t>HRK/vehicle km</t>
  </si>
  <si>
    <t>GBP/lorry mile</t>
  </si>
  <si>
    <t>Table 7a, page 43</t>
  </si>
  <si>
    <t>Vehicle km on the network per day</t>
  </si>
  <si>
    <t>Year number</t>
  </si>
  <si>
    <t>Value of pollution per lorry mile</t>
  </si>
  <si>
    <t>Value of local air quality per car km</t>
  </si>
  <si>
    <t>http://www.dft.gov.uk/webtag/documents/archive/1208/unit3.9.5.pdf</t>
  </si>
  <si>
    <t>Page 11, Table A1</t>
  </si>
  <si>
    <t>Fuel consumption per year</t>
  </si>
  <si>
    <t>New vehicles, emission factor  (g/litre)</t>
  </si>
  <si>
    <t>Old vehicles, emission factor (g/litre)</t>
  </si>
  <si>
    <t>Value of particles emitted per year</t>
  </si>
  <si>
    <t>Value of SO2 emitted per year</t>
  </si>
  <si>
    <t>Value of hydrocarbons emitted per year</t>
  </si>
  <si>
    <t>Value of NOx emitted per year</t>
  </si>
  <si>
    <t>Value of CO2 emitted per year</t>
  </si>
  <si>
    <r>
      <t xml:space="preserve">Total value of </t>
    </r>
    <r>
      <rPr>
        <sz val="11"/>
        <rFont val="Calibri"/>
        <family val="2"/>
      </rPr>
      <t>local air quality</t>
    </r>
    <r>
      <rPr>
        <sz val="11"/>
        <color theme="1"/>
        <rFont val="Calibri"/>
        <family val="2"/>
      </rPr>
      <t xml:space="preserve"> per year</t>
    </r>
  </si>
  <si>
    <t>Operating costs for cars per km</t>
  </si>
  <si>
    <t>http://www.theaa.com/resources/Documents/pdf/motoring-advice/running-costs/petrol2013.pdf</t>
  </si>
  <si>
    <t>Only running costs, median for normal priced cars</t>
  </si>
  <si>
    <t>Value of pollution per lorry km</t>
  </si>
  <si>
    <t>PT vehicle km per day</t>
  </si>
  <si>
    <t>Non-GHG Air Pollution Costs (per vehicle km)</t>
  </si>
  <si>
    <t>http://www.vtpi.org/tca/tca0510.pdf</t>
  </si>
  <si>
    <t>Table 5.10.7-1 p 27</t>
  </si>
  <si>
    <t>Value of accidents on the network, per year</t>
  </si>
  <si>
    <t>Total value of DN impacts  (discounted)</t>
  </si>
  <si>
    <t>Total value of DS impacts (discounted)</t>
  </si>
  <si>
    <t>TOTAL BENEFIT</t>
  </si>
  <si>
    <t>TOTAL COST</t>
  </si>
  <si>
    <r>
      <t xml:space="preserve">Total value of </t>
    </r>
    <r>
      <rPr>
        <sz val="11"/>
        <rFont val="Calibri"/>
        <family val="2"/>
      </rPr>
      <t>pollutants</t>
    </r>
    <r>
      <rPr>
        <sz val="11"/>
        <color theme="1"/>
        <rFont val="Calibri"/>
        <family val="2"/>
      </rPr>
      <t xml:space="preserve"> per year</t>
    </r>
  </si>
  <si>
    <t>Value of emission</t>
  </si>
  <si>
    <t>Value of pollution (Non-GHG) per PT-vehicle km</t>
  </si>
  <si>
    <t>Value of GHG emissions per PT-vehicle km</t>
  </si>
  <si>
    <t>Outcome</t>
  </si>
  <si>
    <t>Enter data only in yellow cells.</t>
  </si>
  <si>
    <t>Overall Instructions</t>
  </si>
  <si>
    <t>"The network" is the area that the measure operates in.  This might be one road, or the whole city.  Contact Lund for advice if you are unsure.</t>
  </si>
  <si>
    <t>Ticket income is the money that for example the bus company receives from passengers, or the parking company receives from people paying for parking.</t>
  </si>
  <si>
    <t>User charges are the same - the money that passengers pay to buy tickets or parking tickets.</t>
  </si>
  <si>
    <t>If you think that the measure does not affect ticket income or parking income, do not fill anything in on this sheet.</t>
  </si>
  <si>
    <t>Car (variable only)</t>
  </si>
  <si>
    <t>Small truck</t>
  </si>
  <si>
    <t>Trucks</t>
  </si>
  <si>
    <t>Small</t>
  </si>
  <si>
    <t>Big</t>
  </si>
  <si>
    <t>Miles/day</t>
  </si>
  <si>
    <t>Variable cost/mile</t>
  </si>
  <si>
    <t>Fixed cost/day</t>
  </si>
  <si>
    <t>Cost/km</t>
  </si>
  <si>
    <t>Big truck</t>
  </si>
  <si>
    <t>% urb traffic</t>
  </si>
  <si>
    <t>Billion km urban roads UK</t>
  </si>
  <si>
    <t>UK pence/km</t>
  </si>
  <si>
    <t>Sources - Transport Statistics Great Britain</t>
  </si>
  <si>
    <t>Weighted average op cost per veh km, urban main roads</t>
  </si>
  <si>
    <t>These are the monetary values used for all the different impacts in the spreadsheet, converted to local currency and purchasing power.  Only enter different values if you are SURE that you have better ones - consult Lund first.</t>
  </si>
  <si>
    <t>We at Lund will advise you on how to do this if you think that changes in physical activity are a significant impact for your meaure.</t>
  </si>
  <si>
    <t>Instructions - health impacts</t>
  </si>
  <si>
    <t>Instructions - noise pollution</t>
  </si>
  <si>
    <t>Only fill in this sheet if there are more or fewer vehicle km by OTHER private vehicles (other than those that are themselves part of the measure (e.g. New rubbish trucks or buses)) on the network (e.g. If new bus lane leads to re-routeing of car traffic)</t>
  </si>
  <si>
    <t>Hidden cells, L-O</t>
  </si>
  <si>
    <t>Car km on the network per day</t>
  </si>
  <si>
    <t>Total vehicle km on the network per day</t>
  </si>
  <si>
    <t>If you use the other sheet  'Op cost NO New Vehicles', please leave this sheet blank, so it does not affect the outcome of the CBA.</t>
  </si>
  <si>
    <t>Travel time on link or network per cyclist, minutes</t>
  </si>
  <si>
    <t>Travel time on link or network per bus, minutes (that is affected by measure)</t>
  </si>
  <si>
    <t>Starting year</t>
  </si>
  <si>
    <t>Average value of time (per hour)</t>
  </si>
  <si>
    <t>Total value of time on network per year</t>
  </si>
  <si>
    <t>Fuel cost per km (excluding VAT)</t>
  </si>
  <si>
    <t>Tyre cost per km (excluding VAT)</t>
  </si>
  <si>
    <t>Maintenance cost per km (excluding VAT)</t>
  </si>
  <si>
    <t>Oil cost per km (excluding VAT)</t>
  </si>
  <si>
    <t>Insurance cost per km (excluding VAT)</t>
  </si>
  <si>
    <t xml:space="preserve">For some measures the DO NOTHING option might be actually be a DO MINIMUM option. So for example if you would have introduced Euro 5 buses without CIVITAS, but CNG with CIVITAS, then for the DO NOTHING you should enter the investment and operating cost for the Euro 5 buses from the year you would have introduced them. For the DO SOMETHING you should enter the investment and operating cost for CNG from the year that you would have introduced them. </t>
  </si>
  <si>
    <t>The BC-ratio should be positive. If not, contact Lund.</t>
  </si>
  <si>
    <t>The total cost should be positive. If not, contact Lund.</t>
  </si>
  <si>
    <t>Blue cells are calculations in the main sheet and outcome of the CBA</t>
  </si>
  <si>
    <t>Finishing year</t>
  </si>
  <si>
    <t>What is the DO NOTHING and DO SOMETHING?</t>
  </si>
  <si>
    <t>What is the network?</t>
  </si>
  <si>
    <t>What period should I make the CBA for?</t>
  </si>
  <si>
    <t>The DO NOTHING is the situation if no measure were implemented.  The DO SOMETHING is the situation with the measure.</t>
  </si>
  <si>
    <t>Brown cells are input values that you should not change</t>
  </si>
  <si>
    <t>1. Enter your country, the spreadsheet. The CBA automatically uses values converted to your currency and purchasing power.</t>
  </si>
  <si>
    <t>2. Enter size of city</t>
  </si>
  <si>
    <t>How does the spreadsheet (CBA) work?</t>
  </si>
  <si>
    <t xml:space="preserve">You should read every sheet in the spreadsheet.  However, for each measure, you may not need to enter data on every sheet - only enter data for impacts that your measure actually has. For example, new electric vehicles used for refuse collection do not change the value of time on the network, so there is no need to enter anything on that sheet. </t>
  </si>
  <si>
    <t>3. Enter starting year (the year the measure is implemented)</t>
  </si>
  <si>
    <t xml:space="preserve">All other data should be input under the sheet for each impact. The cells marked in yellow are for input data.  If you don't have data for each impact, please leave the cell and sheet empty. </t>
  </si>
  <si>
    <t>OBS! It is only the operating cost for the infrastructure, not for the vehicles, that you should enter here.</t>
  </si>
  <si>
    <t>INVESTMENT AND OPERATING COSTS OF THE MEASURE</t>
  </si>
  <si>
    <t>What is the investment cost?</t>
  </si>
  <si>
    <t>What is the operating cost?</t>
  </si>
  <si>
    <t>Operating costs will of course be incurred every year.  You should enter herethe operating cost of the infrastructure. Vehicle operating costs will be enter in another sheet, 'Op cost new vehicles' and 'Op cost other vehicles'. However if you are leasing vehicles or infrastructure, show this as an operating cost on this sheet. If you are unsure, consult Lund.</t>
  </si>
  <si>
    <r>
      <t xml:space="preserve">Please enter here the investment costs and operating cost for the measure. The investment cost is the cost for planning, designing and constructing of the measure. Enter all the construction and investment costs the year they are being made and in </t>
    </r>
    <r>
      <rPr>
        <sz val="11"/>
        <rFont val="Calibri"/>
        <family val="2"/>
      </rPr>
      <t>cash prices (e.g. the price that you pay the year you pay it)</t>
    </r>
    <r>
      <rPr>
        <sz val="11"/>
        <color indexed="8"/>
        <rFont val="Calibri"/>
        <family val="2"/>
      </rPr>
      <t xml:space="preserve">. </t>
    </r>
  </si>
  <si>
    <t>What is the investment in the DO NOTHING option?</t>
  </si>
  <si>
    <t>1. Enter the investment cost for both DO NOTHING and DO SOMETHING.</t>
  </si>
  <si>
    <t>2. Enter operating costs for borth options</t>
  </si>
  <si>
    <r>
      <rPr>
        <sz val="11"/>
        <color indexed="8"/>
        <rFont val="Calibri"/>
        <family val="2"/>
      </rPr>
      <t>OBS! Remember to exclude VAT from all costs.</t>
    </r>
  </si>
  <si>
    <t>Another example would be if the DO SOMETHING is to convert a 4-lane city street to a 2-lane + 2 bus lane street. Then you have an investment and operating cost for the DO SOMETHING, but you also have an operating cost for the DO NOTHING, that is the maintaining cost for the 4-lane street.</t>
  </si>
  <si>
    <t>Step by step instructions for this sheet:</t>
  </si>
  <si>
    <t>Step by step instructions for this sheet</t>
  </si>
  <si>
    <t>Where can I see the results from the CBA?</t>
  </si>
  <si>
    <t xml:space="preserve">Orange cells are inputs to the main calculation sheet from calculations on the other sheets.  </t>
  </si>
  <si>
    <t>Please , for the area that you consider to be affected by the measure.  For example, a tram scheme would affect travel time over a whole city (network).  A new pedestrian crossing would affect travel times only on a single road (link), for vehicles, and for pedestrians crossing that road.  Some measures e.g. clean fuelled vehicles are unlikely to affect travel times at all so in this case you do not need to fill in this sheet.</t>
  </si>
  <si>
    <t>Public Transport</t>
  </si>
  <si>
    <t>Vehicles per day (affected by the measure)</t>
  </si>
  <si>
    <r>
      <t xml:space="preserve">For all measures in civitas we assume a life </t>
    </r>
    <r>
      <rPr>
        <sz val="11"/>
        <rFont val="Calibri"/>
        <family val="2"/>
      </rPr>
      <t>time</t>
    </r>
    <r>
      <rPr>
        <sz val="11"/>
        <color theme="1"/>
        <rFont val="Calibri"/>
        <family val="2"/>
      </rPr>
      <t xml:space="preserve"> of 15 years. Therefore you should only count the benefits for the first 15 years. To be able to compare the results with results for other measures the value most be discounted to the same year, in this case 2013. The starting year is the year measure starts to deliver benefits. However investment costs might occur earlier.</t>
    </r>
  </si>
  <si>
    <t>1. Enter the number users of each mode</t>
  </si>
  <si>
    <t>3. Enter the average vehicle occupancy for public transport and car</t>
  </si>
  <si>
    <t>OBS! Only enter data between the starting year and finishing year.</t>
  </si>
  <si>
    <t>VALUE OF TIME</t>
  </si>
  <si>
    <t>OBS! All costs should be excluiding VAT to be comparable to the monetary values.</t>
  </si>
  <si>
    <t>OPERATING COST - NEW PUBLIC VEHICLES</t>
  </si>
  <si>
    <t>OPERATING COST - NO NEW VEHICLES</t>
  </si>
  <si>
    <t>1. Enter the total vehicle distance per day on the network for all vehicles.</t>
  </si>
  <si>
    <t>When should I fill in this sheet?</t>
  </si>
  <si>
    <t>OBS! If you have actual data for the proportion of total traffic on your network that is bus, car and truck, consult with Lund</t>
  </si>
  <si>
    <t>POLLUTANTS - NEW VEHICLES</t>
  </si>
  <si>
    <t>What do I do if I do not have all the data for this sheet?</t>
  </si>
  <si>
    <t>1. Enter the emission factors for the new vehicles (the manufacturer should be able to provide these numbers)</t>
  </si>
  <si>
    <t>2. Enter the emission factors for the old vehicles</t>
  </si>
  <si>
    <t>3. Enter the fuel consumption per year in for both DN and DS.</t>
  </si>
  <si>
    <t>If you do not know the emissions factors for the old vehicles you can consult Lund. Also, if you have the emission factors in a different unit than g/litre you can contact Lund for guidance. If the new vehicles are electric then you need to know the KWh used by new vehicles for a given period e.g. day, year.</t>
  </si>
  <si>
    <t>This sheet relates to the new vehicles that are introduced, e.g. New rubbish trucks, new buses etc. The DO SOMETHING is derived from the emissions from the new vehicles.  The DO NOTHING is derived from the emissions from the old vehicles. You have to enter the emissions factors in g/litre of fuel used for the new and the old vehicles; and you have to enter the total fuel consumption of the new and the old vehicles.</t>
  </si>
  <si>
    <t>1. Enter the vehicle distance on the network</t>
  </si>
  <si>
    <t xml:space="preserve">2. Enter fuel consumption for Public Transport vehicles </t>
  </si>
  <si>
    <t>POLLUTANTS - PUBLIC TRANSPORT</t>
  </si>
  <si>
    <t>1. Enter the distance on the network by private cars</t>
  </si>
  <si>
    <t>SAFETY</t>
  </si>
  <si>
    <t>Stpe by step instructions for this sheet</t>
  </si>
  <si>
    <t>1. Enter the number of accidents on the network each year</t>
  </si>
  <si>
    <t>OBS! You should enter number of accidents and not casualties.</t>
  </si>
  <si>
    <t>What is the differencs between accidents and casualties?</t>
  </si>
  <si>
    <t>Accidents are the number of . Casualties are the how many people hat have been injured in traffic accidents. The sheet automatically takes into account that more than one person might be involved/affected by the accident and that there is amterial damage.</t>
  </si>
  <si>
    <t>1. Enter the distance travelled per vehicle per year</t>
  </si>
  <si>
    <t>2. Enter the number of vehicles affected by the measure (e.g. if you replace samller vehicle with larges ones, you should enter fewer vehicles in the DO SOMETHING alternative)</t>
  </si>
  <si>
    <t>Fill in this sheet if the measure introduces new public vehicles . If the measure does not introduce new vehicles you should use the sheet 'Op cost NO New Vehicles' instead.</t>
  </si>
  <si>
    <t>3. Enter the cost per km for the standard factors</t>
  </si>
  <si>
    <t>Investment cost of the measure (excluding VAT)</t>
  </si>
  <si>
    <t>Investment cost</t>
  </si>
  <si>
    <t xml:space="preserve">Operating cost </t>
  </si>
  <si>
    <t>Operating cost of the masure (excluding VAT)</t>
  </si>
  <si>
    <t>Cost/veh km</t>
  </si>
  <si>
    <r>
      <t xml:space="preserve">Total value of </t>
    </r>
    <r>
      <rPr>
        <sz val="11"/>
        <rFont val="Calibri"/>
        <family val="2"/>
      </rPr>
      <t>pollutants</t>
    </r>
    <r>
      <rPr>
        <sz val="11"/>
        <color theme="1"/>
        <rFont val="Calibri"/>
        <family val="2"/>
      </rPr>
      <t xml:space="preserve"> per year </t>
    </r>
  </si>
  <si>
    <t>Value of accidents on the network per year</t>
  </si>
  <si>
    <t>Only fill in this sheet if there are more or fewer vehicle km by OTHER PUBLIC TRANSPORT vehicles than those that are themselves part of the measure (e.g. New rubbish trucks or buses)) on the network (e.g. If new pedestrian scheme leads to re-routeing of bus traffic)</t>
  </si>
  <si>
    <t>germany</t>
  </si>
  <si>
    <t>The main calculation sheet (this sheet). This is where the results of the calculation are shown. Results are shown in local currency.</t>
  </si>
  <si>
    <t xml:space="preserve">2. Enter the traveltime (in minutes) for different modes </t>
  </si>
  <si>
    <t>OBS! Here it is important to understand and define "the network" correctly. See the overall insrtuctions in the main calculation sheet!</t>
  </si>
  <si>
    <t>This is a simplified option to calculate the operational costs per year (perational cost for vehicles). Only use this option if the measure does not introduce a new type of vehicle in your city. This table uses one operating cost per vehicle km, for all vehicles, averaged for urban networks.</t>
  </si>
  <si>
    <t>Introduction and origin of the spreadsheet</t>
  </si>
  <si>
    <t>This cost benefit analysis tool was developed in 2014 by Tim Larsson, Lund University, for the CIVITAS DYN@MO project.  It is free to use but if you do so please acknowledge the source of the spreadsheet. The tool allows the user to input relatively little data about a measure and to obtain a benefit cost ratio and net present value for the measure based on the monetised value of its costs and benefits.  You can modify the data in the spreadsheet (values of time etc) but this is only recommended for expert users who are very familiar with how CBA works.</t>
  </si>
  <si>
    <t>We at Napier will advise you on how to do this if you think this is a significant impact for your measure.</t>
  </si>
  <si>
    <t>However it is problematic to measure.</t>
  </si>
</sst>
</file>

<file path=xl/styles.xml><?xml version="1.0" encoding="utf-8"?>
<styleSheet xmlns="http://schemas.openxmlformats.org/spreadsheetml/2006/main">
  <numFmts count="6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809]dd\ mmmm\ yyyy"/>
    <numFmt numFmtId="174" formatCode="0.000"/>
    <numFmt numFmtId="175" formatCode="0.0"/>
    <numFmt numFmtId="176" formatCode="0.0000000"/>
    <numFmt numFmtId="177" formatCode="0.000000"/>
    <numFmt numFmtId="178" formatCode="0.00000"/>
    <numFmt numFmtId="179" formatCode="0.0000"/>
    <numFmt numFmtId="180" formatCode="&quot;Ja&quot;;&quot;Ja&quot;;&quot;Nej&quot;"/>
    <numFmt numFmtId="181" formatCode="&quot;Sant&quot;;&quot;Sant&quot;;&quot;Falskt&quot;"/>
    <numFmt numFmtId="182" formatCode="&quot;På&quot;;&quot;På&quot;;&quot;Av&quot;"/>
    <numFmt numFmtId="183" formatCode="[$€-2]\ #,##0.00_);[Red]\([$€-2]\ #,##0.00\)"/>
    <numFmt numFmtId="184" formatCode="_(&quot;$&quot;* #,##0_);_(&quot;$&quot;* \(#,##0\);_(&quot;$&quot;* &quot;-&quot;_);_(@_)"/>
    <numFmt numFmtId="185" formatCode="_(&quot;$&quot;* #,##0.00_);_(&quot;$&quot;* \(#,##0.00\);_(&quot;$&quot;* &quot;-&quot;??_);_(@_)"/>
    <numFmt numFmtId="186" formatCode="[$-41D]&quot;den &quot;d\ mmmm\ yyyy"/>
    <numFmt numFmtId="187" formatCode="#,##0.00\ &quot;kr&quot;"/>
    <numFmt numFmtId="188" formatCode="#,##0.0"/>
    <numFmt numFmtId="189" formatCode="#,##0.000"/>
    <numFmt numFmtId="190" formatCode="#,##0.0000"/>
    <numFmt numFmtId="191" formatCode="#,##0.00000"/>
    <numFmt numFmtId="192" formatCode="0.00000000"/>
    <numFmt numFmtId="193" formatCode="0.000000000"/>
    <numFmt numFmtId="194" formatCode="0.0000000000"/>
    <numFmt numFmtId="195" formatCode="0.00000000000"/>
    <numFmt numFmtId="196" formatCode="[$$-C09]#,##0.00;[Red][$$-C09]#,##0.00"/>
    <numFmt numFmtId="197" formatCode="[$$-C09]#,##0"/>
    <numFmt numFmtId="198" formatCode="[$$-C09]#,##0.00"/>
    <numFmt numFmtId="199" formatCode="[$$-C09]#,##0.000"/>
    <numFmt numFmtId="200" formatCode="[$$-C09]#,##0.0"/>
    <numFmt numFmtId="201" formatCode="[$$-C09]#,##0;[Red]\-[$$-C09]#,##0"/>
    <numFmt numFmtId="202" formatCode="[$$-C09]#,##0.00;[Red]\-[$$-C09]#,##0.00"/>
    <numFmt numFmtId="203" formatCode="[$$-C09]#,##0.0;[Red]\-[$$-C09]#,##0.0"/>
    <numFmt numFmtId="204" formatCode="[$€-C07]\ #,##0;[Red]\-[$€-C07]\ #,##0"/>
    <numFmt numFmtId="205" formatCode="_-* #,##0.00\ [$€-1]_-;\-* #,##0.00\ [$€-1]_-;_-* &quot;-&quot;??\ [$€-1]_-;_-@_-"/>
    <numFmt numFmtId="206" formatCode="_-* #,##0.0\ [$€-1]_-;\-* #,##0.0\ [$€-1]_-;_-* &quot;-&quot;??\ [$€-1]_-;_-@_-"/>
    <numFmt numFmtId="207" formatCode="_-* #,##0\ [$€-1]_-;\-* #,##0\ [$€-1]_-;_-* &quot;-&quot;??\ [$€-1]_-;_-@_-"/>
    <numFmt numFmtId="208" formatCode="_-* #,##0.0_-;\-* #,##0.0_-;_-* &quot;-&quot;??_-;_-@_-"/>
    <numFmt numFmtId="209" formatCode="_-* #,##0_-;\-* #,##0_-;_-* &quot;-&quot;??_-;_-@_-"/>
    <numFmt numFmtId="210" formatCode="_-* #,##0.000_-;\-* #,##0.000_-;_-* &quot;-&quot;??_-;_-@_-"/>
    <numFmt numFmtId="211" formatCode="#,##0_ ;[Red]\-#,##0\ "/>
    <numFmt numFmtId="212" formatCode="0.00_ ;[Red]\-0.00\ "/>
    <numFmt numFmtId="213" formatCode="0.0_ ;[Red]\-0.0\ "/>
    <numFmt numFmtId="214" formatCode="0_ ;[Red]\-0\ "/>
    <numFmt numFmtId="215" formatCode="#,##0.0_ ;[Red]\-#,##0.0\ "/>
    <numFmt numFmtId="216" formatCode="#,##0.00_ ;[Red]\-#,##0.00\ "/>
    <numFmt numFmtId="217" formatCode="#,##0.000_ ;[Red]\-#,##0.000\ "/>
    <numFmt numFmtId="218" formatCode="#,##0.0000_ ;[Red]\-#,##0.0000\ "/>
    <numFmt numFmtId="219" formatCode="#,##0.00000_ ;[Red]\-#,##0.00000\ "/>
    <numFmt numFmtId="220" formatCode="#,##0.0\ _k_r;[Red]\-#,##0.0\ _k_r"/>
    <numFmt numFmtId="221" formatCode="#,##0.0\ &quot;kr&quot;"/>
    <numFmt numFmtId="222" formatCode="#,##0\ &quot;kr&quot;"/>
    <numFmt numFmtId="223" formatCode="#,##0.000\ &quot;kr&quot;"/>
    <numFmt numFmtId="224" formatCode="#,##0.0000\ &quot;kr&quot;"/>
  </numFmts>
  <fonts count="63">
    <font>
      <sz val="11"/>
      <color theme="1"/>
      <name val="Calibri"/>
      <family val="2"/>
    </font>
    <font>
      <sz val="11"/>
      <color indexed="8"/>
      <name val="Calibri"/>
      <family val="2"/>
    </font>
    <font>
      <sz val="10"/>
      <name val="Arial"/>
      <family val="2"/>
    </font>
    <font>
      <u val="single"/>
      <sz val="10"/>
      <color indexed="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0"/>
      <color indexed="8"/>
      <name val="Arial"/>
      <family val="2"/>
    </font>
    <font>
      <i/>
      <sz val="10"/>
      <color indexed="8"/>
      <name val="Arial"/>
      <family val="2"/>
    </font>
    <font>
      <strike/>
      <sz val="11"/>
      <color indexed="8"/>
      <name val="Calibri"/>
      <family val="2"/>
    </font>
    <font>
      <sz val="11"/>
      <color indexed="56"/>
      <name val="Calibri"/>
      <family val="2"/>
    </font>
    <font>
      <b/>
      <sz val="14"/>
      <name val="Calibri"/>
      <family val="2"/>
    </font>
    <font>
      <sz val="14"/>
      <color indexed="8"/>
      <name val="Calibri"/>
      <family val="2"/>
    </font>
    <font>
      <sz val="8"/>
      <color indexed="63"/>
      <name val="Lucida Sans Unicode"/>
      <family val="2"/>
    </font>
    <font>
      <b/>
      <sz val="11"/>
      <color indexed="10"/>
      <name val="Calibri"/>
      <family val="2"/>
    </font>
    <font>
      <b/>
      <sz val="11"/>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b/>
      <sz val="14"/>
      <color theme="1"/>
      <name val="Calibri"/>
      <family val="2"/>
    </font>
    <font>
      <b/>
      <sz val="10"/>
      <color rgb="FF000000"/>
      <name val="Arial"/>
      <family val="2"/>
    </font>
    <font>
      <i/>
      <sz val="10"/>
      <color rgb="FF000000"/>
      <name val="Arial"/>
      <family val="2"/>
    </font>
    <font>
      <strike/>
      <sz val="11"/>
      <color theme="1"/>
      <name val="Calibri"/>
      <family val="2"/>
    </font>
    <font>
      <sz val="10"/>
      <color theme="1"/>
      <name val="Arial"/>
      <family val="2"/>
    </font>
    <font>
      <sz val="11"/>
      <color rgb="FF1F497D"/>
      <name val="Calibri"/>
      <family val="2"/>
    </font>
    <font>
      <sz val="14"/>
      <color theme="1"/>
      <name val="Calibri"/>
      <family val="2"/>
    </font>
    <font>
      <sz val="8"/>
      <color rgb="FF4D4D4D"/>
      <name val="Lucida Sans Unicode"/>
      <family val="2"/>
    </font>
    <font>
      <b/>
      <sz val="11"/>
      <color rgb="FFFF0000"/>
      <name val="Calibri"/>
      <family val="2"/>
    </font>
    <font>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rgb="FFFFC00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CC9900"/>
        <bgColor indexed="64"/>
      </patternFill>
    </fill>
    <fill>
      <patternFill patternType="solid">
        <fgColor theme="0" tint="-0.3499799966812134"/>
        <bgColor indexed="64"/>
      </patternFill>
    </fill>
    <fill>
      <patternFill patternType="solid">
        <fgColor theme="9" tint="-0.499969989061355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style="thin"/>
      <top style="double"/>
      <bottom style="thin"/>
    </border>
    <border>
      <left style="medium"/>
      <right style="thin"/>
      <top style="medium"/>
      <botto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style="thin"/>
      <right style="thin">
        <color theme="0" tint="-0.1499900072813034"/>
      </right>
      <top style="thin">
        <color theme="0" tint="-0.1499900072813034"/>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
      <left>
        <color indexed="63"/>
      </left>
      <right style="thin"/>
      <top>
        <color indexed="63"/>
      </top>
      <bottom>
        <color indexed="63"/>
      </bottom>
    </border>
    <border>
      <left style="thin">
        <color theme="0" tint="-0.1499900072813034"/>
      </left>
      <right>
        <color indexed="63"/>
      </right>
      <top style="thin">
        <color theme="0" tint="-0.1499900072813034"/>
      </top>
      <bottom style="thin">
        <color theme="0" tint="-0.1499900072813034"/>
      </bottom>
    </border>
    <border>
      <left style="thin">
        <color theme="0" tint="-0.1499900072813034"/>
      </left>
      <right>
        <color indexed="63"/>
      </right>
      <top style="thin">
        <color theme="0" tint="-0.1499900072813034"/>
      </top>
      <bottom style="thin"/>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style="medium"/>
    </border>
    <border>
      <left style="medium"/>
      <right/>
      <top style="medium"/>
      <bottom style="thin"/>
    </border>
    <border>
      <left/>
      <right/>
      <top style="medium"/>
      <bottom style="thin"/>
    </border>
    <border>
      <left/>
      <right style="medium"/>
      <top style="medium"/>
      <bottom style="thin"/>
    </border>
    <border>
      <left style="thin">
        <color theme="0" tint="-0.1499900072813034"/>
      </left>
      <right style="thin">
        <color theme="0" tint="-0.1499900072813034"/>
      </right>
      <top style="thin">
        <color theme="0" tint="-0.1499900072813034"/>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style="thin">
        <color theme="0" tint="-0.1499900072813034"/>
      </left>
      <right style="thin">
        <color theme="0" tint="-0.1499900072813034"/>
      </right>
      <top>
        <color indexed="63"/>
      </top>
      <bottom style="thin">
        <color theme="0" tint="-0.1499900072813034"/>
      </bottom>
    </border>
    <border>
      <left>
        <color indexed="63"/>
      </left>
      <right style="thin"/>
      <top style="thin"/>
      <bottom style="thin"/>
    </border>
    <border>
      <left style="thin">
        <color theme="0" tint="-0.1499900072813034"/>
      </left>
      <right style="thin">
        <color theme="0" tint="-0.1499900072813034"/>
      </right>
      <top style="thin"/>
      <bottom style="thin"/>
    </border>
    <border>
      <left style="thin">
        <color theme="0" tint="-0.24997000396251678"/>
      </left>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color indexed="63"/>
      </left>
      <right>
        <color indexed="63"/>
      </right>
      <top style="thin"/>
      <bottom style="thin">
        <color theme="0" tint="-0.1499900072813034"/>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color theme="0" tint="-0.1499900072813034"/>
      </top>
      <bottom>
        <color indexed="63"/>
      </bottom>
    </border>
    <border>
      <left>
        <color indexed="63"/>
      </left>
      <right>
        <color indexed="63"/>
      </right>
      <top style="thin">
        <color theme="0" tint="-0.1499900072813034"/>
      </top>
      <bottom style="thin">
        <color theme="0" tint="-0.1499900072813034"/>
      </bottom>
    </border>
    <border>
      <left style="thin">
        <color theme="0" tint="-0.1499900072813034"/>
      </left>
      <right style="thin">
        <color theme="0" tint="-0.1499900072813034"/>
      </right>
      <top>
        <color indexed="63"/>
      </top>
      <bottom style="thin"/>
    </border>
    <border>
      <left style="thin">
        <color theme="0" tint="-0.1499900072813034"/>
      </left>
      <right style="thin"/>
      <top>
        <color indexed="63"/>
      </top>
      <bottom style="thin"/>
    </border>
    <border>
      <left>
        <color indexed="63"/>
      </left>
      <right style="thin">
        <color theme="0" tint="-0.1499900072813034"/>
      </right>
      <top>
        <color indexed="63"/>
      </top>
      <bottom style="thin">
        <color theme="0" tint="-0.1499900072813034"/>
      </bottom>
    </border>
    <border>
      <left style="thin">
        <color theme="0" tint="-0.1499900072813034"/>
      </left>
      <right>
        <color indexed="63"/>
      </right>
      <top>
        <color indexed="63"/>
      </top>
      <bottom style="thin">
        <color theme="0" tint="-0.1499900072813034"/>
      </bottom>
    </border>
    <border>
      <left>
        <color indexed="63"/>
      </left>
      <right>
        <color indexed="63"/>
      </right>
      <top>
        <color indexed="63"/>
      </top>
      <bottom style="thin">
        <color theme="0" tint="-0.1499900072813034"/>
      </bottom>
    </border>
    <border>
      <left style="thin"/>
      <right style="thin">
        <color theme="0" tint="-0.1499900072813034"/>
      </right>
      <top>
        <color indexed="63"/>
      </top>
      <bottom style="thin"/>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color theme="0" tint="-0.1499900072813034"/>
      </left>
      <right style="thin"/>
      <top>
        <color indexed="63"/>
      </top>
      <bottom style="thin">
        <color theme="0" tint="-0.149990007281303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29">
    <xf numFmtId="0" fontId="0" fillId="0" borderId="0" xfId="0" applyFont="1" applyAlignment="1">
      <alignment/>
    </xf>
    <xf numFmtId="165" fontId="0" fillId="0" borderId="0" xfId="0" applyNumberFormat="1" applyAlignment="1">
      <alignment/>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Border="1" applyAlignment="1">
      <alignment/>
    </xf>
    <xf numFmtId="0" fontId="0" fillId="0" borderId="10" xfId="0" applyBorder="1" applyAlignment="1">
      <alignment/>
    </xf>
    <xf numFmtId="0" fontId="2" fillId="0" borderId="11" xfId="0" applyFont="1" applyBorder="1" applyAlignment="1">
      <alignment/>
    </xf>
    <xf numFmtId="0" fontId="0" fillId="0" borderId="11" xfId="0" applyBorder="1" applyAlignment="1">
      <alignment/>
    </xf>
    <xf numFmtId="0" fontId="0" fillId="0" borderId="12" xfId="0" applyBorder="1" applyAlignment="1">
      <alignment/>
    </xf>
    <xf numFmtId="9" fontId="0" fillId="33" borderId="0" xfId="0" applyNumberFormat="1" applyFill="1" applyBorder="1" applyAlignment="1">
      <alignment horizontal="center"/>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horizontal="center"/>
    </xf>
    <xf numFmtId="0" fontId="51" fillId="0" borderId="17" xfId="0" applyFont="1" applyBorder="1" applyAlignment="1">
      <alignment/>
    </xf>
    <xf numFmtId="0" fontId="51" fillId="0" borderId="18" xfId="0" applyFont="1" applyBorder="1" applyAlignment="1">
      <alignment/>
    </xf>
    <xf numFmtId="0" fontId="3" fillId="0" borderId="0" xfId="53" applyAlignment="1" applyProtection="1">
      <alignment/>
      <protection/>
    </xf>
    <xf numFmtId="0" fontId="2" fillId="0" borderId="19" xfId="0" applyFont="1" applyBorder="1" applyAlignment="1">
      <alignment/>
    </xf>
    <xf numFmtId="0" fontId="2" fillId="0" borderId="20" xfId="0" applyFont="1" applyBorder="1" applyAlignment="1">
      <alignment horizontal="center"/>
    </xf>
    <xf numFmtId="0" fontId="0" fillId="0" borderId="20" xfId="0" applyBorder="1" applyAlignment="1">
      <alignment/>
    </xf>
    <xf numFmtId="0" fontId="0" fillId="0" borderId="21" xfId="0" applyBorder="1" applyAlignment="1">
      <alignment/>
    </xf>
    <xf numFmtId="0" fontId="2" fillId="0" borderId="0" xfId="0" applyFont="1" applyFill="1" applyBorder="1" applyAlignment="1" quotePrefix="1">
      <alignment/>
    </xf>
    <xf numFmtId="0" fontId="2" fillId="0" borderId="22" xfId="0" applyFont="1" applyBorder="1" applyAlignment="1">
      <alignment/>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horizontal="left" vertical="top"/>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left" vertical="top"/>
    </xf>
    <xf numFmtId="0" fontId="0" fillId="0" borderId="17" xfId="0" applyBorder="1" applyAlignment="1">
      <alignment/>
    </xf>
    <xf numFmtId="0" fontId="0" fillId="34" borderId="18" xfId="0" applyFill="1" applyBorder="1" applyAlignment="1">
      <alignment horizontal="center"/>
    </xf>
    <xf numFmtId="0" fontId="0" fillId="34" borderId="21" xfId="0" applyFill="1" applyBorder="1" applyAlignment="1">
      <alignment horizontal="center"/>
    </xf>
    <xf numFmtId="0" fontId="0" fillId="0" borderId="29" xfId="0" applyBorder="1" applyAlignment="1">
      <alignment horizontal="left" vertical="top"/>
    </xf>
    <xf numFmtId="0" fontId="0" fillId="34" borderId="24" xfId="0" applyFill="1" applyBorder="1" applyAlignment="1">
      <alignment horizontal="center"/>
    </xf>
    <xf numFmtId="0" fontId="0" fillId="33" borderId="26" xfId="0"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0" fillId="33" borderId="17" xfId="0" applyFill="1" applyBorder="1" applyAlignment="1">
      <alignment horizontal="right"/>
    </xf>
    <xf numFmtId="1" fontId="0" fillId="0" borderId="17" xfId="0" applyNumberFormat="1" applyBorder="1" applyAlignment="1">
      <alignment horizontal="right"/>
    </xf>
    <xf numFmtId="1" fontId="0" fillId="0" borderId="18" xfId="0" applyNumberFormat="1" applyBorder="1" applyAlignment="1">
      <alignment horizontal="right"/>
    </xf>
    <xf numFmtId="0" fontId="0" fillId="33" borderId="20" xfId="0" applyFill="1" applyBorder="1" applyAlignment="1">
      <alignment horizontal="right"/>
    </xf>
    <xf numFmtId="0" fontId="0" fillId="33" borderId="23" xfId="0" applyFill="1" applyBorder="1" applyAlignment="1">
      <alignment horizontal="right"/>
    </xf>
    <xf numFmtId="1" fontId="0" fillId="0" borderId="30" xfId="0" applyNumberFormat="1" applyBorder="1" applyAlignment="1">
      <alignment horizontal="right"/>
    </xf>
    <xf numFmtId="1" fontId="0" fillId="0" borderId="31" xfId="0" applyNumberFormat="1" applyBorder="1" applyAlignment="1">
      <alignment horizontal="right"/>
    </xf>
    <xf numFmtId="0" fontId="0" fillId="0" borderId="26" xfId="0" applyBorder="1" applyAlignment="1">
      <alignment horizontal="center"/>
    </xf>
    <xf numFmtId="3" fontId="0" fillId="33" borderId="17" xfId="0" applyNumberFormat="1" applyFill="1" applyBorder="1" applyAlignment="1">
      <alignment horizontal="right"/>
    </xf>
    <xf numFmtId="3" fontId="0" fillId="0" borderId="17" xfId="0" applyNumberFormat="1" applyBorder="1" applyAlignment="1">
      <alignment horizontal="right"/>
    </xf>
    <xf numFmtId="3" fontId="0" fillId="0" borderId="18" xfId="0" applyNumberFormat="1" applyBorder="1" applyAlignment="1">
      <alignment horizontal="right"/>
    </xf>
    <xf numFmtId="3" fontId="0" fillId="33" borderId="20" xfId="0" applyNumberFormat="1" applyFill="1" applyBorder="1" applyAlignment="1">
      <alignment horizontal="right"/>
    </xf>
    <xf numFmtId="0" fontId="0" fillId="34" borderId="20" xfId="0" applyFill="1" applyBorder="1" applyAlignment="1">
      <alignment horizontal="right"/>
    </xf>
    <xf numFmtId="0" fontId="0" fillId="34" borderId="21" xfId="0" applyFill="1" applyBorder="1" applyAlignment="1">
      <alignment horizontal="right"/>
    </xf>
    <xf numFmtId="9" fontId="0" fillId="33" borderId="20" xfId="0" applyNumberFormat="1" applyFill="1" applyBorder="1" applyAlignment="1">
      <alignment horizontal="right"/>
    </xf>
    <xf numFmtId="9" fontId="0" fillId="34" borderId="20" xfId="0" applyNumberFormat="1" applyFill="1" applyBorder="1" applyAlignment="1">
      <alignment horizontal="right"/>
    </xf>
    <xf numFmtId="9" fontId="0" fillId="34" borderId="21" xfId="0" applyNumberFormat="1" applyFill="1" applyBorder="1" applyAlignment="1">
      <alignment horizontal="right"/>
    </xf>
    <xf numFmtId="9" fontId="0" fillId="33" borderId="23" xfId="0" applyNumberFormat="1" applyFill="1" applyBorder="1" applyAlignment="1">
      <alignment horizontal="right"/>
    </xf>
    <xf numFmtId="9" fontId="0" fillId="34" borderId="23" xfId="0" applyNumberFormat="1" applyFill="1" applyBorder="1" applyAlignment="1">
      <alignment horizontal="right"/>
    </xf>
    <xf numFmtId="9" fontId="0" fillId="34" borderId="24" xfId="0" applyNumberFormat="1" applyFill="1" applyBorder="1" applyAlignment="1">
      <alignment horizontal="right"/>
    </xf>
    <xf numFmtId="0" fontId="2" fillId="0" borderId="25" xfId="0" applyFont="1" applyBorder="1" applyAlignment="1">
      <alignment horizontal="left" vertical="top"/>
    </xf>
    <xf numFmtId="0" fontId="2" fillId="0" borderId="26" xfId="0" applyFont="1" applyBorder="1" applyAlignment="1">
      <alignment/>
    </xf>
    <xf numFmtId="0" fontId="0" fillId="0" borderId="20" xfId="0" applyBorder="1" applyAlignment="1">
      <alignment horizontal="center"/>
    </xf>
    <xf numFmtId="3" fontId="0" fillId="33" borderId="23" xfId="0" applyNumberFormat="1" applyFill="1" applyBorder="1" applyAlignment="1">
      <alignment horizontal="right"/>
    </xf>
    <xf numFmtId="3" fontId="0" fillId="0" borderId="30" xfId="0" applyNumberFormat="1" applyBorder="1" applyAlignment="1">
      <alignment horizontal="right"/>
    </xf>
    <xf numFmtId="3" fontId="0" fillId="0" borderId="31" xfId="0" applyNumberFormat="1" applyBorder="1" applyAlignment="1">
      <alignment horizontal="right"/>
    </xf>
    <xf numFmtId="0" fontId="2" fillId="0" borderId="26" xfId="0" applyFont="1" applyBorder="1" applyAlignment="1">
      <alignment horizontal="left"/>
    </xf>
    <xf numFmtId="0" fontId="0" fillId="0" borderId="20" xfId="0" applyBorder="1" applyAlignment="1">
      <alignment horizontal="left"/>
    </xf>
    <xf numFmtId="3" fontId="0" fillId="33" borderId="32" xfId="0" applyNumberFormat="1" applyFill="1" applyBorder="1" applyAlignment="1">
      <alignment horizontal="right"/>
    </xf>
    <xf numFmtId="0" fontId="0" fillId="0" borderId="23" xfId="0" applyBorder="1" applyAlignment="1">
      <alignment horizontal="left"/>
    </xf>
    <xf numFmtId="0" fontId="0" fillId="0" borderId="33" xfId="0" applyBorder="1" applyAlignment="1">
      <alignment horizontal="left" vertical="top"/>
    </xf>
    <xf numFmtId="0" fontId="0" fillId="0" borderId="34" xfId="0" applyBorder="1" applyAlignment="1">
      <alignment horizontal="left"/>
    </xf>
    <xf numFmtId="3" fontId="0" fillId="33" borderId="34" xfId="0" applyNumberFormat="1" applyFill="1" applyBorder="1" applyAlignment="1">
      <alignment horizontal="right"/>
    </xf>
    <xf numFmtId="3" fontId="0" fillId="0" borderId="34" xfId="0" applyNumberFormat="1" applyBorder="1" applyAlignment="1">
      <alignment horizontal="right"/>
    </xf>
    <xf numFmtId="3" fontId="0" fillId="0" borderId="35" xfId="0" applyNumberFormat="1" applyBorder="1" applyAlignment="1">
      <alignment horizontal="right"/>
    </xf>
    <xf numFmtId="0" fontId="2" fillId="0" borderId="33" xfId="0" applyFont="1" applyBorder="1" applyAlignment="1">
      <alignment horizontal="left" vertical="top"/>
    </xf>
    <xf numFmtId="0" fontId="2" fillId="0" borderId="34" xfId="0" applyFont="1" applyBorder="1" applyAlignment="1">
      <alignment horizontal="center"/>
    </xf>
    <xf numFmtId="4" fontId="0" fillId="33" borderId="34" xfId="0" applyNumberFormat="1" applyFill="1" applyBorder="1" applyAlignment="1">
      <alignment horizontal="right"/>
    </xf>
    <xf numFmtId="4" fontId="0" fillId="0" borderId="34" xfId="0" applyNumberFormat="1" applyBorder="1" applyAlignment="1">
      <alignment horizontal="right"/>
    </xf>
    <xf numFmtId="4" fontId="0" fillId="0" borderId="35" xfId="0" applyNumberFormat="1" applyBorder="1" applyAlignment="1">
      <alignment horizontal="right"/>
    </xf>
    <xf numFmtId="0" fontId="2" fillId="0" borderId="29" xfId="0" applyFont="1" applyBorder="1" applyAlignment="1">
      <alignment horizontal="left" vertical="top"/>
    </xf>
    <xf numFmtId="0" fontId="2" fillId="0" borderId="23" xfId="0" applyFont="1" applyBorder="1" applyAlignment="1">
      <alignment horizontal="center"/>
    </xf>
    <xf numFmtId="4" fontId="0" fillId="33" borderId="23" xfId="0" applyNumberFormat="1" applyFill="1" applyBorder="1" applyAlignment="1">
      <alignment horizontal="right"/>
    </xf>
    <xf numFmtId="4" fontId="0" fillId="0" borderId="30" xfId="0" applyNumberFormat="1" applyBorder="1" applyAlignment="1">
      <alignment horizontal="right"/>
    </xf>
    <xf numFmtId="4" fontId="0" fillId="0" borderId="31" xfId="0" applyNumberFormat="1" applyBorder="1" applyAlignment="1">
      <alignment horizontal="right"/>
    </xf>
    <xf numFmtId="0" fontId="2" fillId="0" borderId="0" xfId="0" applyFont="1" applyBorder="1" applyAlignment="1">
      <alignment horizontal="center"/>
    </xf>
    <xf numFmtId="3" fontId="0" fillId="0" borderId="0" xfId="0" applyNumberFormat="1" applyBorder="1" applyAlignment="1">
      <alignment horizontal="right"/>
    </xf>
    <xf numFmtId="175" fontId="0" fillId="0" borderId="0" xfId="0" applyNumberFormat="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175" fontId="0" fillId="0" borderId="0" xfId="0" applyNumberFormat="1" applyAlignment="1">
      <alignment horizontal="center"/>
    </xf>
    <xf numFmtId="0" fontId="0" fillId="0" borderId="39" xfId="0" applyBorder="1" applyAlignment="1">
      <alignment/>
    </xf>
    <xf numFmtId="0" fontId="0" fillId="33" borderId="39" xfId="0" applyFill="1" applyBorder="1" applyAlignment="1">
      <alignment horizontal="center"/>
    </xf>
    <xf numFmtId="0" fontId="0" fillId="33" borderId="39" xfId="0" applyFill="1" applyBorder="1" applyAlignment="1">
      <alignment/>
    </xf>
    <xf numFmtId="0" fontId="0" fillId="0" borderId="0" xfId="0" applyAlignment="1">
      <alignment horizontal="left" wrapText="1"/>
    </xf>
    <xf numFmtId="0" fontId="0" fillId="33" borderId="40"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xf>
    <xf numFmtId="0" fontId="0" fillId="33" borderId="43" xfId="0" applyFill="1" applyBorder="1" applyAlignment="1">
      <alignment horizontal="center"/>
    </xf>
    <xf numFmtId="0" fontId="0" fillId="33" borderId="44" xfId="0" applyFill="1" applyBorder="1" applyAlignment="1">
      <alignment horizontal="center"/>
    </xf>
    <xf numFmtId="0" fontId="0" fillId="0" borderId="0" xfId="0" applyBorder="1" applyAlignment="1">
      <alignment horizontal="left" vertical="top"/>
    </xf>
    <xf numFmtId="175" fontId="0" fillId="0" borderId="0" xfId="0" applyNumberFormat="1" applyBorder="1" applyAlignment="1">
      <alignment/>
    </xf>
    <xf numFmtId="0" fontId="0" fillId="0" borderId="45" xfId="0" applyBorder="1" applyAlignment="1">
      <alignment/>
    </xf>
    <xf numFmtId="0" fontId="0" fillId="33" borderId="46" xfId="0" applyFill="1" applyBorder="1" applyAlignment="1">
      <alignment horizontal="center"/>
    </xf>
    <xf numFmtId="0" fontId="0" fillId="33" borderId="47" xfId="0" applyFill="1" applyBorder="1" applyAlignment="1">
      <alignment horizontal="center"/>
    </xf>
    <xf numFmtId="0" fontId="0" fillId="33" borderId="48" xfId="0" applyFill="1" applyBorder="1" applyAlignment="1">
      <alignment horizontal="center"/>
    </xf>
    <xf numFmtId="0" fontId="0" fillId="33" borderId="49" xfId="0" applyFill="1" applyBorder="1" applyAlignment="1">
      <alignment horizontal="center"/>
    </xf>
    <xf numFmtId="0" fontId="0" fillId="33" borderId="42" xfId="0" applyFill="1" applyBorder="1" applyAlignment="1">
      <alignment horizontal="center"/>
    </xf>
    <xf numFmtId="0" fontId="0" fillId="35" borderId="0" xfId="0" applyFill="1" applyBorder="1" applyAlignment="1">
      <alignment/>
    </xf>
    <xf numFmtId="1" fontId="0" fillId="36" borderId="39" xfId="0" applyNumberFormat="1" applyFill="1" applyBorder="1" applyAlignment="1">
      <alignment horizontal="center"/>
    </xf>
    <xf numFmtId="0" fontId="0" fillId="36" borderId="39" xfId="0" applyFill="1" applyBorder="1" applyAlignment="1">
      <alignment horizontal="center"/>
    </xf>
    <xf numFmtId="0" fontId="0" fillId="37" borderId="0" xfId="0" applyFill="1" applyBorder="1" applyAlignment="1">
      <alignment/>
    </xf>
    <xf numFmtId="0" fontId="0" fillId="37" borderId="50" xfId="0" applyFill="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xf>
    <xf numFmtId="1" fontId="4" fillId="0" borderId="0" xfId="0" applyNumberFormat="1" applyFont="1" applyBorder="1" applyAlignment="1">
      <alignment horizontal="center"/>
    </xf>
    <xf numFmtId="0" fontId="4" fillId="0" borderId="20" xfId="0" applyFont="1" applyBorder="1" applyAlignment="1">
      <alignment horizontal="left" vertical="top"/>
    </xf>
    <xf numFmtId="0" fontId="4" fillId="0" borderId="20" xfId="0" applyFont="1" applyBorder="1" applyAlignment="1">
      <alignment horizontal="center"/>
    </xf>
    <xf numFmtId="0" fontId="0" fillId="0" borderId="20" xfId="0" applyFont="1" applyBorder="1" applyAlignment="1">
      <alignment horizontal="left" vertical="top"/>
    </xf>
    <xf numFmtId="0" fontId="0" fillId="33" borderId="20" xfId="0" applyFill="1" applyBorder="1" applyAlignment="1">
      <alignment/>
    </xf>
    <xf numFmtId="0" fontId="0" fillId="38" borderId="20" xfId="0" applyFill="1" applyBorder="1" applyAlignment="1">
      <alignment/>
    </xf>
    <xf numFmtId="0" fontId="0" fillId="39" borderId="20" xfId="0" applyFill="1" applyBorder="1" applyAlignment="1">
      <alignment/>
    </xf>
    <xf numFmtId="0" fontId="0" fillId="0" borderId="20" xfId="0" applyFont="1" applyBorder="1" applyAlignment="1">
      <alignment/>
    </xf>
    <xf numFmtId="1" fontId="0" fillId="0" borderId="51" xfId="0" applyNumberFormat="1" applyFont="1" applyBorder="1" applyAlignment="1">
      <alignment/>
    </xf>
    <xf numFmtId="1" fontId="0" fillId="0" borderId="37" xfId="0" applyNumberFormat="1" applyFont="1" applyBorder="1" applyAlignment="1">
      <alignment/>
    </xf>
    <xf numFmtId="175" fontId="0" fillId="0" borderId="36" xfId="0" applyNumberFormat="1" applyFont="1" applyBorder="1" applyAlignment="1">
      <alignment/>
    </xf>
    <xf numFmtId="175" fontId="0" fillId="0" borderId="51" xfId="0" applyNumberFormat="1" applyFont="1" applyBorder="1" applyAlignment="1">
      <alignment/>
    </xf>
    <xf numFmtId="175" fontId="0" fillId="0" borderId="37" xfId="0" applyNumberFormat="1" applyFont="1" applyBorder="1" applyAlignment="1">
      <alignment/>
    </xf>
    <xf numFmtId="0" fontId="0" fillId="0" borderId="0" xfId="0" applyBorder="1" applyAlignment="1">
      <alignment horizontal="center"/>
    </xf>
    <xf numFmtId="0" fontId="0" fillId="37" borderId="0" xfId="0" applyFill="1" applyBorder="1" applyAlignment="1">
      <alignment horizontal="center"/>
    </xf>
    <xf numFmtId="0" fontId="0" fillId="0" borderId="50" xfId="0" applyBorder="1" applyAlignment="1">
      <alignment horizontal="center"/>
    </xf>
    <xf numFmtId="0" fontId="0" fillId="0" borderId="20" xfId="0" applyFont="1" applyFill="1" applyBorder="1" applyAlignment="1">
      <alignment/>
    </xf>
    <xf numFmtId="0" fontId="52" fillId="0" borderId="20" xfId="0" applyFont="1" applyBorder="1" applyAlignment="1">
      <alignment/>
    </xf>
    <xf numFmtId="0" fontId="52" fillId="0" borderId="20" xfId="0" applyFont="1" applyFill="1" applyBorder="1" applyAlignment="1">
      <alignment/>
    </xf>
    <xf numFmtId="0" fontId="0" fillId="0" borderId="0" xfId="0" applyFont="1" applyBorder="1" applyAlignment="1">
      <alignment/>
    </xf>
    <xf numFmtId="0" fontId="2" fillId="0" borderId="20" xfId="57" applyBorder="1">
      <alignment/>
      <protection/>
    </xf>
    <xf numFmtId="0" fontId="4" fillId="0" borderId="34" xfId="0" applyFont="1" applyFill="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0" fillId="0" borderId="29" xfId="0" applyBorder="1" applyAlignment="1">
      <alignment/>
    </xf>
    <xf numFmtId="1" fontId="0" fillId="0" borderId="30" xfId="0" applyNumberFormat="1" applyBorder="1" applyAlignment="1">
      <alignment/>
    </xf>
    <xf numFmtId="1" fontId="0" fillId="0" borderId="31" xfId="0" applyNumberFormat="1" applyBorder="1" applyAlignment="1">
      <alignment/>
    </xf>
    <xf numFmtId="1" fontId="0" fillId="38" borderId="30" xfId="0" applyNumberFormat="1" applyFill="1" applyBorder="1" applyAlignment="1">
      <alignment horizontal="right"/>
    </xf>
    <xf numFmtId="0" fontId="0" fillId="0" borderId="19" xfId="0" applyBorder="1" applyAlignment="1">
      <alignment/>
    </xf>
    <xf numFmtId="0" fontId="2" fillId="0" borderId="21" xfId="57" applyBorder="1">
      <alignment/>
      <protection/>
    </xf>
    <xf numFmtId="0" fontId="52" fillId="0" borderId="21" xfId="0" applyFont="1" applyBorder="1" applyAlignment="1">
      <alignment/>
    </xf>
    <xf numFmtId="0" fontId="0" fillId="0" borderId="21"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39" borderId="30" xfId="0" applyFill="1" applyBorder="1" applyAlignment="1">
      <alignment/>
    </xf>
    <xf numFmtId="0" fontId="0" fillId="39" borderId="52" xfId="0" applyFill="1"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48" xfId="0" applyBorder="1" applyAlignment="1">
      <alignment/>
    </xf>
    <xf numFmtId="0" fontId="0" fillId="0" borderId="48" xfId="0" applyBorder="1" applyAlignment="1">
      <alignment wrapText="1"/>
    </xf>
    <xf numFmtId="0" fontId="0" fillId="0" borderId="48" xfId="0" applyBorder="1" applyAlignment="1">
      <alignment horizontal="center"/>
    </xf>
    <xf numFmtId="0" fontId="0" fillId="40" borderId="56" xfId="0" applyFill="1" applyBorder="1" applyAlignment="1">
      <alignment/>
    </xf>
    <xf numFmtId="0" fontId="53" fillId="0" borderId="0" xfId="0" applyFont="1" applyAlignment="1">
      <alignment/>
    </xf>
    <xf numFmtId="0" fontId="0" fillId="0" borderId="0" xfId="0" applyAlignment="1">
      <alignment vertical="top" wrapText="1"/>
    </xf>
    <xf numFmtId="0" fontId="0" fillId="0" borderId="0" xfId="0" applyAlignment="1">
      <alignment vertical="top"/>
    </xf>
    <xf numFmtId="0" fontId="49" fillId="0" borderId="0" xfId="0" applyFont="1" applyAlignment="1">
      <alignment/>
    </xf>
    <xf numFmtId="0" fontId="0" fillId="0" borderId="0" xfId="0" applyAlignment="1">
      <alignment wrapText="1"/>
    </xf>
    <xf numFmtId="0" fontId="0" fillId="40" borderId="39" xfId="0" applyFill="1" applyBorder="1" applyAlignment="1">
      <alignment horizontal="center"/>
    </xf>
    <xf numFmtId="0" fontId="0" fillId="40" borderId="39" xfId="0" applyFill="1" applyBorder="1" applyAlignment="1">
      <alignment/>
    </xf>
    <xf numFmtId="0" fontId="50" fillId="0" borderId="0" xfId="0" applyFont="1" applyAlignment="1">
      <alignment/>
    </xf>
    <xf numFmtId="3" fontId="0" fillId="33" borderId="0" xfId="0" applyNumberFormat="1" applyFill="1" applyBorder="1" applyAlignment="1">
      <alignment horizontal="right"/>
    </xf>
    <xf numFmtId="189" fontId="0" fillId="33" borderId="0" xfId="0" applyNumberFormat="1" applyFill="1" applyBorder="1" applyAlignment="1">
      <alignment horizontal="right"/>
    </xf>
    <xf numFmtId="189" fontId="0" fillId="0" borderId="0" xfId="0" applyNumberFormat="1" applyBorder="1" applyAlignment="1">
      <alignment horizontal="right"/>
    </xf>
    <xf numFmtId="174" fontId="4" fillId="0" borderId="20" xfId="0" applyNumberFormat="1" applyFont="1" applyBorder="1" applyAlignment="1">
      <alignment horizontal="center"/>
    </xf>
    <xf numFmtId="0" fontId="4" fillId="0" borderId="0" xfId="0" applyFont="1" applyBorder="1" applyAlignment="1">
      <alignment horizontal="center"/>
    </xf>
    <xf numFmtId="174" fontId="4" fillId="0" borderId="0" xfId="0" applyNumberFormat="1" applyFont="1" applyBorder="1" applyAlignment="1">
      <alignment horizontal="center"/>
    </xf>
    <xf numFmtId="0" fontId="0" fillId="0" borderId="0" xfId="0" applyFill="1" applyBorder="1" applyAlignment="1">
      <alignment/>
    </xf>
    <xf numFmtId="0" fontId="0" fillId="37" borderId="0" xfId="0" applyFill="1" applyBorder="1" applyAlignment="1">
      <alignment/>
    </xf>
    <xf numFmtId="179" fontId="0" fillId="40" borderId="20" xfId="0" applyNumberFormat="1" applyFill="1" applyBorder="1" applyAlignment="1">
      <alignment/>
    </xf>
    <xf numFmtId="174" fontId="0" fillId="38" borderId="20" xfId="0" applyNumberFormat="1" applyFill="1" applyBorder="1" applyAlignment="1">
      <alignment/>
    </xf>
    <xf numFmtId="174" fontId="0" fillId="40" borderId="20" xfId="0" applyNumberFormat="1" applyFill="1" applyBorder="1" applyAlignment="1">
      <alignment/>
    </xf>
    <xf numFmtId="179" fontId="0" fillId="0" borderId="0" xfId="0" applyNumberFormat="1" applyAlignment="1">
      <alignment/>
    </xf>
    <xf numFmtId="174" fontId="0" fillId="0" borderId="0" xfId="0" applyNumberFormat="1" applyAlignment="1">
      <alignment/>
    </xf>
    <xf numFmtId="1" fontId="0" fillId="33" borderId="20" xfId="0" applyNumberFormat="1" applyFont="1" applyFill="1" applyBorder="1" applyAlignment="1">
      <alignment/>
    </xf>
    <xf numFmtId="175" fontId="0" fillId="33" borderId="20" xfId="0" applyNumberFormat="1" applyFont="1" applyFill="1" applyBorder="1" applyAlignment="1">
      <alignment/>
    </xf>
    <xf numFmtId="0" fontId="0" fillId="33" borderId="20" xfId="0" applyFont="1" applyFill="1" applyBorder="1" applyAlignment="1">
      <alignment/>
    </xf>
    <xf numFmtId="0" fontId="3" fillId="0" borderId="39" xfId="53" applyBorder="1" applyAlignment="1" applyProtection="1">
      <alignment/>
      <protection/>
    </xf>
    <xf numFmtId="0" fontId="54" fillId="40" borderId="39" xfId="0" applyFont="1" applyFill="1" applyBorder="1" applyAlignment="1">
      <alignment horizontal="center" vertical="center" wrapText="1"/>
    </xf>
    <xf numFmtId="0" fontId="3" fillId="40" borderId="39" xfId="53" applyFill="1" applyBorder="1" applyAlignment="1" applyProtection="1">
      <alignment horizontal="center" vertical="center" wrapText="1"/>
      <protection/>
    </xf>
    <xf numFmtId="0" fontId="51" fillId="40" borderId="39" xfId="0" applyFont="1" applyFill="1" applyBorder="1" applyAlignment="1">
      <alignment vertical="center" wrapText="1"/>
    </xf>
    <xf numFmtId="0" fontId="55" fillId="40" borderId="39" xfId="0" applyFont="1" applyFill="1" applyBorder="1" applyAlignment="1">
      <alignment vertical="center" wrapText="1"/>
    </xf>
    <xf numFmtId="0" fontId="3" fillId="40" borderId="39" xfId="53" applyFill="1" applyBorder="1" applyAlignment="1" applyProtection="1">
      <alignment vertical="center" wrapText="1"/>
      <protection/>
    </xf>
    <xf numFmtId="0" fontId="51" fillId="40" borderId="39" xfId="0" applyFont="1" applyFill="1" applyBorder="1" applyAlignment="1">
      <alignment vertical="center"/>
    </xf>
    <xf numFmtId="0" fontId="0" fillId="37" borderId="20" xfId="0" applyFill="1" applyBorder="1" applyAlignment="1">
      <alignment/>
    </xf>
    <xf numFmtId="0" fontId="0" fillId="40" borderId="57" xfId="0" applyFill="1" applyBorder="1" applyAlignment="1">
      <alignment/>
    </xf>
    <xf numFmtId="0" fontId="56" fillId="40" borderId="57" xfId="0" applyFont="1" applyFill="1" applyBorder="1" applyAlignment="1">
      <alignment/>
    </xf>
    <xf numFmtId="0" fontId="2" fillId="0" borderId="33" xfId="0" applyFont="1" applyFill="1" applyBorder="1" applyAlignment="1">
      <alignment/>
    </xf>
    <xf numFmtId="0" fontId="4" fillId="38" borderId="58" xfId="0" applyFont="1" applyFill="1" applyBorder="1" applyAlignment="1">
      <alignment horizontal="center"/>
    </xf>
    <xf numFmtId="1" fontId="0" fillId="38" borderId="20" xfId="0" applyNumberFormat="1" applyFill="1" applyBorder="1" applyAlignment="1">
      <alignment horizontal="right"/>
    </xf>
    <xf numFmtId="1" fontId="0" fillId="0" borderId="20" xfId="0" applyNumberFormat="1" applyBorder="1" applyAlignment="1">
      <alignment/>
    </xf>
    <xf numFmtId="0" fontId="2" fillId="0" borderId="20" xfId="0" applyFont="1" applyFill="1" applyBorder="1" applyAlignment="1">
      <alignment/>
    </xf>
    <xf numFmtId="174" fontId="0" fillId="0" borderId="20" xfId="0" applyNumberFormat="1" applyBorder="1" applyAlignment="1">
      <alignment/>
    </xf>
    <xf numFmtId="0" fontId="57" fillId="0" borderId="20" xfId="0" applyFont="1" applyFill="1" applyBorder="1" applyAlignment="1">
      <alignment/>
    </xf>
    <xf numFmtId="0" fontId="58" fillId="0" borderId="20" xfId="0" applyFont="1" applyBorder="1" applyAlignment="1">
      <alignment/>
    </xf>
    <xf numFmtId="0" fontId="2" fillId="0" borderId="20" xfId="0" applyFont="1" applyFill="1" applyBorder="1" applyAlignment="1">
      <alignment horizontal="left"/>
    </xf>
    <xf numFmtId="174" fontId="0" fillId="0" borderId="20" xfId="0" applyNumberFormat="1" applyFill="1" applyBorder="1" applyAlignment="1">
      <alignment/>
    </xf>
    <xf numFmtId="0" fontId="4" fillId="39" borderId="20" xfId="0" applyFont="1" applyFill="1" applyBorder="1" applyAlignment="1">
      <alignment horizontal="center"/>
    </xf>
    <xf numFmtId="0" fontId="4" fillId="39" borderId="58" xfId="0" applyFont="1" applyFill="1" applyBorder="1" applyAlignment="1">
      <alignment horizontal="center"/>
    </xf>
    <xf numFmtId="0" fontId="4" fillId="39" borderId="59" xfId="0" applyFont="1" applyFill="1" applyBorder="1" applyAlignment="1">
      <alignment horizontal="center"/>
    </xf>
    <xf numFmtId="0" fontId="0" fillId="41" borderId="20" xfId="0" applyFill="1" applyBorder="1" applyAlignment="1">
      <alignment/>
    </xf>
    <xf numFmtId="0" fontId="2" fillId="41" borderId="20" xfId="0" applyFont="1" applyFill="1" applyBorder="1" applyAlignment="1">
      <alignment horizontal="center"/>
    </xf>
    <xf numFmtId="0" fontId="57" fillId="0" borderId="20" xfId="0" applyFont="1" applyBorder="1" applyAlignment="1">
      <alignment/>
    </xf>
    <xf numFmtId="174" fontId="57" fillId="41" borderId="20" xfId="0" applyNumberFormat="1" applyFont="1" applyFill="1" applyBorder="1" applyAlignment="1">
      <alignment/>
    </xf>
    <xf numFmtId="174" fontId="57" fillId="0" borderId="20" xfId="0" applyNumberFormat="1" applyFont="1" applyBorder="1" applyAlignment="1">
      <alignment/>
    </xf>
    <xf numFmtId="0" fontId="28" fillId="38" borderId="60" xfId="0" applyFont="1" applyFill="1" applyBorder="1" applyAlignment="1">
      <alignment/>
    </xf>
    <xf numFmtId="0" fontId="4" fillId="38" borderId="60" xfId="0" applyFont="1" applyFill="1" applyBorder="1" applyAlignment="1">
      <alignment/>
    </xf>
    <xf numFmtId="0" fontId="0" fillId="0" borderId="61" xfId="0" applyBorder="1" applyAlignment="1">
      <alignment/>
    </xf>
    <xf numFmtId="175" fontId="0" fillId="12" borderId="20" xfId="0" applyNumberFormat="1" applyFill="1" applyBorder="1" applyAlignment="1">
      <alignment/>
    </xf>
    <xf numFmtId="0" fontId="4" fillId="38" borderId="62" xfId="0" applyFont="1" applyFill="1" applyBorder="1" applyAlignment="1">
      <alignment/>
    </xf>
    <xf numFmtId="0" fontId="4" fillId="42" borderId="60" xfId="0" applyFont="1" applyFill="1" applyBorder="1" applyAlignment="1">
      <alignment/>
    </xf>
    <xf numFmtId="0" fontId="4" fillId="38" borderId="63" xfId="0" applyFont="1" applyFill="1" applyBorder="1" applyAlignment="1">
      <alignment/>
    </xf>
    <xf numFmtId="0" fontId="0" fillId="37" borderId="17" xfId="0" applyFill="1" applyBorder="1" applyAlignment="1">
      <alignment/>
    </xf>
    <xf numFmtId="175" fontId="0" fillId="0" borderId="30" xfId="0" applyNumberFormat="1" applyBorder="1" applyAlignment="1">
      <alignment/>
    </xf>
    <xf numFmtId="0" fontId="0" fillId="0" borderId="51" xfId="0" applyFill="1" applyBorder="1" applyAlignment="1">
      <alignment horizontal="center" wrapText="1"/>
    </xf>
    <xf numFmtId="0" fontId="0" fillId="0" borderId="64" xfId="0" applyBorder="1" applyAlignment="1">
      <alignment horizontal="center" wrapText="1"/>
    </xf>
    <xf numFmtId="0" fontId="0" fillId="0" borderId="51" xfId="0" applyBorder="1" applyAlignment="1">
      <alignment horizontal="center" wrapText="1"/>
    </xf>
    <xf numFmtId="0" fontId="0" fillId="0" borderId="0" xfId="0" applyBorder="1" applyAlignment="1">
      <alignment horizontal="center" wrapText="1"/>
    </xf>
    <xf numFmtId="0" fontId="0" fillId="0" borderId="45" xfId="0" applyBorder="1" applyAlignment="1">
      <alignment horizontal="center"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59" fillId="0" borderId="0" xfId="0" applyFont="1" applyAlignment="1">
      <alignment wrapText="1"/>
    </xf>
    <xf numFmtId="0" fontId="50" fillId="0" borderId="0" xfId="0" applyFont="1" applyAlignment="1">
      <alignment wrapText="1"/>
    </xf>
    <xf numFmtId="0" fontId="0" fillId="43" borderId="20" xfId="0" applyFill="1" applyBorder="1" applyAlignment="1">
      <alignment/>
    </xf>
    <xf numFmtId="179" fontId="0" fillId="39" borderId="20" xfId="0" applyNumberFormat="1" applyFill="1" applyBorder="1" applyAlignment="1">
      <alignment/>
    </xf>
    <xf numFmtId="0" fontId="0" fillId="37" borderId="20" xfId="0" applyFont="1" applyFill="1" applyBorder="1" applyAlignment="1">
      <alignment horizontal="left"/>
    </xf>
    <xf numFmtId="0" fontId="0" fillId="37" borderId="68" xfId="0" applyFont="1" applyFill="1" applyBorder="1" applyAlignment="1">
      <alignment horizontal="left"/>
    </xf>
    <xf numFmtId="0" fontId="0" fillId="37" borderId="20" xfId="0" applyFont="1" applyFill="1" applyBorder="1" applyAlignment="1">
      <alignment horizontal="left" vertical="top"/>
    </xf>
    <xf numFmtId="0" fontId="0" fillId="37" borderId="20" xfId="0" applyFont="1" applyFill="1" applyBorder="1" applyAlignment="1">
      <alignment/>
    </xf>
    <xf numFmtId="1" fontId="0" fillId="39" borderId="68" xfId="0" applyNumberFormat="1" applyFont="1" applyFill="1" applyBorder="1" applyAlignment="1">
      <alignment/>
    </xf>
    <xf numFmtId="175" fontId="0" fillId="39" borderId="68" xfId="0" applyNumberFormat="1" applyFont="1" applyFill="1" applyBorder="1" applyAlignment="1">
      <alignment/>
    </xf>
    <xf numFmtId="2" fontId="0" fillId="39" borderId="68" xfId="0" applyNumberFormat="1" applyFont="1" applyFill="1" applyBorder="1" applyAlignment="1">
      <alignment/>
    </xf>
    <xf numFmtId="0" fontId="0" fillId="40" borderId="38" xfId="0" applyFont="1" applyFill="1" applyBorder="1" applyAlignment="1">
      <alignment/>
    </xf>
    <xf numFmtId="0" fontId="0" fillId="40" borderId="69" xfId="0" applyFont="1" applyFill="1" applyBorder="1" applyAlignment="1">
      <alignment/>
    </xf>
    <xf numFmtId="0" fontId="4" fillId="40" borderId="0" xfId="0" applyFont="1" applyFill="1" applyBorder="1" applyAlignment="1">
      <alignment horizontal="left"/>
    </xf>
    <xf numFmtId="0" fontId="4" fillId="37" borderId="20" xfId="0" applyFont="1" applyFill="1" applyBorder="1" applyAlignment="1">
      <alignment horizontal="left"/>
    </xf>
    <xf numFmtId="0" fontId="0" fillId="40" borderId="70" xfId="0" applyFont="1" applyFill="1" applyBorder="1" applyAlignment="1">
      <alignment/>
    </xf>
    <xf numFmtId="0" fontId="0" fillId="40" borderId="71" xfId="0" applyFill="1" applyBorder="1" applyAlignment="1">
      <alignment/>
    </xf>
    <xf numFmtId="0" fontId="56" fillId="40" borderId="71" xfId="0" applyFont="1" applyFill="1" applyBorder="1" applyAlignment="1">
      <alignment/>
    </xf>
    <xf numFmtId="0" fontId="56" fillId="40" borderId="71" xfId="0" applyFont="1" applyFill="1" applyBorder="1" applyAlignment="1">
      <alignment horizontal="center"/>
    </xf>
    <xf numFmtId="0" fontId="0" fillId="40" borderId="72" xfId="0" applyFill="1" applyBorder="1" applyAlignment="1">
      <alignment/>
    </xf>
    <xf numFmtId="0" fontId="0" fillId="40" borderId="73" xfId="0" applyFill="1" applyBorder="1" applyAlignment="1">
      <alignment/>
    </xf>
    <xf numFmtId="0" fontId="60" fillId="40" borderId="39" xfId="0" applyFont="1" applyFill="1" applyBorder="1" applyAlignment="1">
      <alignment/>
    </xf>
    <xf numFmtId="0" fontId="3" fillId="40" borderId="39" xfId="53" applyFill="1" applyBorder="1" applyAlignment="1" applyProtection="1">
      <alignment/>
      <protection/>
    </xf>
    <xf numFmtId="0" fontId="56" fillId="40" borderId="39" xfId="0" applyFont="1" applyFill="1" applyBorder="1" applyAlignment="1">
      <alignment/>
    </xf>
    <xf numFmtId="0" fontId="56" fillId="40" borderId="39" xfId="0" applyFont="1" applyFill="1" applyBorder="1" applyAlignment="1">
      <alignment horizontal="left" vertical="top"/>
    </xf>
    <xf numFmtId="0" fontId="56" fillId="40" borderId="39" xfId="0" applyFont="1" applyFill="1" applyBorder="1" applyAlignment="1">
      <alignment horizontal="center"/>
    </xf>
    <xf numFmtId="0" fontId="0" fillId="0" borderId="74" xfId="0" applyBorder="1" applyAlignment="1">
      <alignment/>
    </xf>
    <xf numFmtId="0" fontId="0" fillId="0" borderId="0" xfId="0" applyFont="1" applyAlignment="1">
      <alignment/>
    </xf>
    <xf numFmtId="0" fontId="61" fillId="0" borderId="0" xfId="0" applyFont="1" applyAlignment="1">
      <alignment/>
    </xf>
    <xf numFmtId="0" fontId="49" fillId="0" borderId="0" xfId="0" applyFont="1" applyAlignment="1">
      <alignment horizontal="left"/>
    </xf>
    <xf numFmtId="0" fontId="0" fillId="0" borderId="0" xfId="0" applyAlignment="1">
      <alignment horizontal="left"/>
    </xf>
    <xf numFmtId="0" fontId="0" fillId="33" borderId="62" xfId="0" applyFill="1" applyBorder="1" applyAlignment="1">
      <alignment/>
    </xf>
    <xf numFmtId="179" fontId="0" fillId="40" borderId="39" xfId="0" applyNumberFormat="1" applyFill="1" applyBorder="1" applyAlignment="1">
      <alignment/>
    </xf>
    <xf numFmtId="0" fontId="28" fillId="40" borderId="39" xfId="0" applyFont="1" applyFill="1" applyBorder="1" applyAlignment="1">
      <alignment/>
    </xf>
    <xf numFmtId="0" fontId="4" fillId="40" borderId="39" xfId="0" applyFont="1" applyFill="1" applyBorder="1" applyAlignment="1">
      <alignment/>
    </xf>
    <xf numFmtId="0" fontId="0" fillId="40" borderId="39" xfId="0" applyFill="1" applyBorder="1" applyAlignment="1">
      <alignment horizontal="center" wrapText="1"/>
    </xf>
    <xf numFmtId="0" fontId="0" fillId="40" borderId="39" xfId="0" applyFill="1" applyBorder="1" applyAlignment="1">
      <alignment wrapText="1"/>
    </xf>
    <xf numFmtId="0" fontId="4" fillId="40" borderId="39" xfId="0" applyFont="1" applyFill="1" applyBorder="1" applyAlignment="1">
      <alignment horizontal="center"/>
    </xf>
    <xf numFmtId="0" fontId="0" fillId="40" borderId="0" xfId="0" applyFill="1" applyAlignment="1">
      <alignment/>
    </xf>
    <xf numFmtId="1" fontId="0" fillId="38" borderId="20" xfId="0" applyNumberFormat="1" applyFill="1" applyBorder="1" applyAlignment="1">
      <alignment/>
    </xf>
    <xf numFmtId="0" fontId="0" fillId="44" borderId="36" xfId="0" applyFill="1" applyBorder="1" applyAlignment="1">
      <alignment/>
    </xf>
    <xf numFmtId="0" fontId="0" fillId="44" borderId="38" xfId="0" applyFill="1" applyBorder="1" applyAlignment="1">
      <alignment/>
    </xf>
    <xf numFmtId="0" fontId="0" fillId="44" borderId="69" xfId="0" applyFill="1" applyBorder="1" applyAlignment="1">
      <alignment/>
    </xf>
    <xf numFmtId="0" fontId="0" fillId="44" borderId="51" xfId="0" applyFill="1" applyBorder="1" applyAlignment="1">
      <alignment/>
    </xf>
    <xf numFmtId="1" fontId="0" fillId="44" borderId="0" xfId="0" applyNumberFormat="1" applyFill="1" applyBorder="1" applyAlignment="1">
      <alignment horizontal="center"/>
    </xf>
    <xf numFmtId="9" fontId="0" fillId="44" borderId="0" xfId="60" applyFont="1" applyFill="1" applyBorder="1" applyAlignment="1">
      <alignment/>
    </xf>
    <xf numFmtId="0" fontId="0" fillId="44" borderId="0" xfId="0" applyFill="1" applyBorder="1" applyAlignment="1">
      <alignment/>
    </xf>
    <xf numFmtId="0" fontId="0" fillId="44" borderId="45" xfId="0" applyFill="1" applyBorder="1" applyAlignment="1">
      <alignment/>
    </xf>
    <xf numFmtId="1" fontId="49" fillId="44" borderId="0" xfId="0" applyNumberFormat="1" applyFont="1" applyFill="1" applyBorder="1" applyAlignment="1">
      <alignment horizontal="center"/>
    </xf>
    <xf numFmtId="2" fontId="0" fillId="44" borderId="0" xfId="0" applyNumberFormat="1" applyFill="1" applyBorder="1" applyAlignment="1">
      <alignment/>
    </xf>
    <xf numFmtId="0" fontId="0" fillId="0" borderId="17" xfId="0" applyFont="1" applyFill="1" applyBorder="1" applyAlignment="1">
      <alignment horizontal="left"/>
    </xf>
    <xf numFmtId="0" fontId="2" fillId="0" borderId="75" xfId="0" applyFont="1" applyFill="1" applyBorder="1" applyAlignment="1">
      <alignment/>
    </xf>
    <xf numFmtId="0" fontId="4" fillId="38" borderId="76" xfId="0" applyFont="1" applyFill="1" applyBorder="1" applyAlignment="1">
      <alignment horizontal="center"/>
    </xf>
    <xf numFmtId="0" fontId="4" fillId="39" borderId="76" xfId="0" applyFont="1" applyFill="1" applyBorder="1" applyAlignment="1">
      <alignment horizontal="center"/>
    </xf>
    <xf numFmtId="0" fontId="4" fillId="39" borderId="77" xfId="0" applyFont="1" applyFill="1" applyBorder="1" applyAlignment="1">
      <alignment horizontal="center"/>
    </xf>
    <xf numFmtId="0" fontId="0" fillId="44" borderId="51" xfId="0" applyFill="1" applyBorder="1" applyAlignment="1">
      <alignment horizontal="left"/>
    </xf>
    <xf numFmtId="0" fontId="49" fillId="44" borderId="51" xfId="0" applyFont="1" applyFill="1" applyBorder="1" applyAlignment="1">
      <alignment horizontal="left"/>
    </xf>
    <xf numFmtId="0" fontId="0" fillId="37" borderId="20" xfId="0" applyFill="1" applyBorder="1" applyAlignment="1">
      <alignment horizontal="left"/>
    </xf>
    <xf numFmtId="171" fontId="0" fillId="40" borderId="61" xfId="42" applyFont="1" applyFill="1" applyBorder="1" applyAlignment="1">
      <alignment/>
    </xf>
    <xf numFmtId="171" fontId="0" fillId="37" borderId="0" xfId="42" applyFont="1" applyFill="1" applyBorder="1" applyAlignment="1">
      <alignment/>
    </xf>
    <xf numFmtId="209" fontId="0" fillId="0" borderId="0" xfId="42" applyNumberFormat="1" applyFont="1" applyBorder="1" applyAlignment="1">
      <alignment/>
    </xf>
    <xf numFmtId="209" fontId="0" fillId="0" borderId="50" xfId="42" applyNumberFormat="1" applyFont="1" applyBorder="1" applyAlignment="1">
      <alignment/>
    </xf>
    <xf numFmtId="209" fontId="0" fillId="12" borderId="20" xfId="42" applyNumberFormat="1" applyFont="1" applyFill="1" applyBorder="1" applyAlignment="1">
      <alignment/>
    </xf>
    <xf numFmtId="175" fontId="0" fillId="0" borderId="0" xfId="0" applyNumberFormat="1" applyFill="1" applyBorder="1" applyAlignment="1">
      <alignment/>
    </xf>
    <xf numFmtId="0" fontId="50" fillId="37" borderId="0" xfId="0" applyFont="1" applyFill="1" applyAlignment="1">
      <alignment/>
    </xf>
    <xf numFmtId="0" fontId="0" fillId="42" borderId="0" xfId="0" applyFill="1" applyAlignment="1">
      <alignment/>
    </xf>
    <xf numFmtId="0" fontId="50" fillId="42" borderId="0" xfId="0" applyFont="1" applyFill="1" applyAlignment="1">
      <alignment/>
    </xf>
    <xf numFmtId="0" fontId="0" fillId="38" borderId="0" xfId="0" applyFill="1" applyAlignment="1">
      <alignment/>
    </xf>
    <xf numFmtId="0" fontId="53" fillId="42" borderId="0" xfId="0" applyFont="1" applyFill="1" applyAlignment="1">
      <alignment/>
    </xf>
    <xf numFmtId="0" fontId="0" fillId="42" borderId="0" xfId="0" applyFill="1" applyBorder="1" applyAlignment="1">
      <alignment/>
    </xf>
    <xf numFmtId="0" fontId="53" fillId="42" borderId="0" xfId="0" applyFont="1" applyFill="1" applyBorder="1" applyAlignment="1">
      <alignment/>
    </xf>
    <xf numFmtId="0" fontId="0" fillId="36" borderId="39" xfId="0" applyFill="1" applyBorder="1" applyAlignment="1">
      <alignment/>
    </xf>
    <xf numFmtId="211" fontId="0" fillId="36" borderId="39" xfId="42" applyNumberFormat="1" applyFont="1" applyFill="1" applyBorder="1" applyAlignment="1">
      <alignment/>
    </xf>
    <xf numFmtId="211" fontId="0" fillId="40" borderId="39" xfId="42" applyNumberFormat="1" applyFont="1" applyFill="1" applyBorder="1" applyAlignment="1">
      <alignment/>
    </xf>
    <xf numFmtId="0" fontId="0" fillId="37" borderId="0" xfId="0" applyFill="1" applyBorder="1" applyAlignment="1">
      <alignment horizontal="center" wrapText="1"/>
    </xf>
    <xf numFmtId="0" fontId="0" fillId="0" borderId="78" xfId="0" applyBorder="1" applyAlignment="1">
      <alignment/>
    </xf>
    <xf numFmtId="0" fontId="0" fillId="0" borderId="0" xfId="0" applyBorder="1" applyAlignment="1">
      <alignment horizontal="right"/>
    </xf>
    <xf numFmtId="0" fontId="0" fillId="33" borderId="0" xfId="0" applyFill="1" applyBorder="1" applyAlignment="1">
      <alignment horizontal="center"/>
    </xf>
    <xf numFmtId="0" fontId="28" fillId="42" borderId="0" xfId="0" applyFont="1" applyFill="1" applyBorder="1" applyAlignment="1">
      <alignment/>
    </xf>
    <xf numFmtId="0" fontId="4" fillId="42" borderId="0" xfId="0" applyFont="1" applyFill="1" applyBorder="1" applyAlignment="1">
      <alignment/>
    </xf>
    <xf numFmtId="0" fontId="28" fillId="38" borderId="0" xfId="0" applyFont="1" applyFill="1" applyBorder="1" applyAlignment="1">
      <alignment/>
    </xf>
    <xf numFmtId="0" fontId="4" fillId="38" borderId="0" xfId="0" applyFont="1" applyFill="1" applyBorder="1" applyAlignment="1">
      <alignment/>
    </xf>
    <xf numFmtId="0" fontId="0" fillId="33" borderId="0" xfId="0" applyFill="1" applyBorder="1" applyAlignment="1">
      <alignment/>
    </xf>
    <xf numFmtId="0" fontId="53" fillId="38" borderId="56" xfId="0" applyFont="1" applyFill="1" applyBorder="1" applyAlignment="1">
      <alignment/>
    </xf>
    <xf numFmtId="0" fontId="0" fillId="0" borderId="0" xfId="0" applyBorder="1" applyAlignment="1">
      <alignment/>
    </xf>
    <xf numFmtId="0" fontId="0" fillId="37" borderId="0" xfId="0" applyFill="1" applyBorder="1" applyAlignment="1">
      <alignment vertical="top"/>
    </xf>
    <xf numFmtId="0" fontId="0" fillId="0" borderId="39" xfId="0" applyBorder="1" applyAlignment="1">
      <alignment wrapText="1"/>
    </xf>
    <xf numFmtId="211" fontId="0" fillId="0" borderId="39" xfId="42" applyNumberFormat="1" applyFont="1" applyBorder="1" applyAlignment="1">
      <alignment/>
    </xf>
    <xf numFmtId="211" fontId="0" fillId="12" borderId="39" xfId="42" applyNumberFormat="1" applyFont="1" applyFill="1" applyBorder="1" applyAlignment="1">
      <alignment/>
    </xf>
    <xf numFmtId="171" fontId="0" fillId="40" borderId="39" xfId="42" applyFont="1" applyFill="1" applyBorder="1" applyAlignment="1">
      <alignment/>
    </xf>
    <xf numFmtId="171" fontId="0" fillId="0" borderId="39" xfId="42" applyFont="1" applyBorder="1" applyAlignment="1">
      <alignment/>
    </xf>
    <xf numFmtId="171" fontId="0" fillId="0" borderId="39" xfId="42" applyFont="1" applyFill="1" applyBorder="1" applyAlignment="1">
      <alignment/>
    </xf>
    <xf numFmtId="0" fontId="0" fillId="0" borderId="39" xfId="0" applyFill="1" applyBorder="1" applyAlignment="1">
      <alignment/>
    </xf>
    <xf numFmtId="165" fontId="0" fillId="0" borderId="39" xfId="0" applyNumberFormat="1" applyBorder="1" applyAlignment="1">
      <alignment/>
    </xf>
    <xf numFmtId="209" fontId="4" fillId="0" borderId="39" xfId="42" applyNumberFormat="1" applyFont="1" applyBorder="1" applyAlignment="1">
      <alignment/>
    </xf>
    <xf numFmtId="211" fontId="0" fillId="12" borderId="46" xfId="42" applyNumberFormat="1" applyFont="1" applyFill="1" applyBorder="1" applyAlignment="1">
      <alignment/>
    </xf>
    <xf numFmtId="0" fontId="0" fillId="0" borderId="48" xfId="42" applyNumberFormat="1" applyFont="1" applyBorder="1" applyAlignment="1">
      <alignment/>
    </xf>
    <xf numFmtId="171" fontId="0" fillId="0" borderId="61" xfId="42" applyFont="1" applyBorder="1" applyAlignment="1">
      <alignment/>
    </xf>
    <xf numFmtId="0" fontId="0" fillId="37" borderId="0" xfId="0" applyFill="1" applyBorder="1" applyAlignment="1">
      <alignment horizontal="center" vertical="top" wrapText="1"/>
    </xf>
    <xf numFmtId="211" fontId="0" fillId="12" borderId="48" xfId="42" applyNumberFormat="1" applyFont="1" applyFill="1" applyBorder="1" applyAlignment="1">
      <alignment/>
    </xf>
    <xf numFmtId="0" fontId="53" fillId="33" borderId="0" xfId="0" applyFont="1" applyFill="1" applyBorder="1" applyAlignment="1">
      <alignment/>
    </xf>
    <xf numFmtId="0" fontId="53" fillId="38" borderId="0" xfId="0" applyFont="1" applyFill="1" applyBorder="1" applyAlignment="1">
      <alignment/>
    </xf>
    <xf numFmtId="0" fontId="0" fillId="38" borderId="0" xfId="0" applyFill="1" applyBorder="1" applyAlignment="1">
      <alignment/>
    </xf>
    <xf numFmtId="0" fontId="59" fillId="37" borderId="14" xfId="0" applyFont="1" applyFill="1" applyBorder="1" applyAlignment="1">
      <alignment/>
    </xf>
    <xf numFmtId="174" fontId="0" fillId="39" borderId="20" xfId="0" applyNumberFormat="1" applyFill="1" applyBorder="1" applyAlignment="1">
      <alignment/>
    </xf>
    <xf numFmtId="0" fontId="28" fillId="42" borderId="0" xfId="0" applyFont="1" applyFill="1" applyBorder="1" applyAlignment="1">
      <alignment horizontal="left"/>
    </xf>
    <xf numFmtId="0" fontId="4" fillId="42" borderId="39" xfId="0" applyFont="1" applyFill="1" applyBorder="1" applyAlignment="1">
      <alignment/>
    </xf>
    <xf numFmtId="0" fontId="4" fillId="38" borderId="39" xfId="0" applyFont="1" applyFill="1" applyBorder="1" applyAlignment="1">
      <alignment/>
    </xf>
    <xf numFmtId="0" fontId="0" fillId="0" borderId="39" xfId="0" applyBorder="1" applyAlignment="1">
      <alignment horizontal="center" wrapText="1"/>
    </xf>
    <xf numFmtId="0" fontId="0" fillId="0" borderId="39" xfId="0" applyBorder="1" applyAlignment="1">
      <alignment horizontal="left"/>
    </xf>
    <xf numFmtId="0" fontId="4" fillId="42" borderId="46" xfId="0" applyFont="1" applyFill="1" applyBorder="1" applyAlignment="1">
      <alignment/>
    </xf>
    <xf numFmtId="0" fontId="0" fillId="0" borderId="46" xfId="0" applyBorder="1" applyAlignment="1">
      <alignment horizontal="center" wrapText="1"/>
    </xf>
    <xf numFmtId="0" fontId="0" fillId="36" borderId="46" xfId="0" applyFill="1" applyBorder="1" applyAlignment="1">
      <alignment horizontal="center"/>
    </xf>
    <xf numFmtId="0" fontId="28" fillId="38" borderId="48" xfId="0" applyFont="1" applyFill="1" applyBorder="1" applyAlignment="1">
      <alignment/>
    </xf>
    <xf numFmtId="0" fontId="0" fillId="0" borderId="48" xfId="0" applyBorder="1" applyAlignment="1">
      <alignment horizontal="left"/>
    </xf>
    <xf numFmtId="0" fontId="4" fillId="33" borderId="39" xfId="0" applyFont="1" applyFill="1" applyBorder="1" applyAlignment="1">
      <alignment horizontal="center"/>
    </xf>
    <xf numFmtId="0" fontId="0" fillId="0" borderId="39" xfId="0" applyBorder="1" applyAlignment="1">
      <alignment horizontal="center"/>
    </xf>
    <xf numFmtId="0" fontId="0" fillId="0" borderId="39" xfId="0" applyBorder="1" applyAlignment="1">
      <alignment horizontal="right"/>
    </xf>
    <xf numFmtId="0" fontId="0" fillId="0" borderId="39" xfId="0" applyFill="1" applyBorder="1" applyAlignment="1">
      <alignment horizontal="center"/>
    </xf>
    <xf numFmtId="0" fontId="0" fillId="0" borderId="39" xfId="0" applyFill="1" applyBorder="1" applyAlignment="1">
      <alignment wrapText="1"/>
    </xf>
    <xf numFmtId="0" fontId="0" fillId="0" borderId="0" xfId="0" applyAlignment="1">
      <alignment horizontal="left" wrapText="1"/>
    </xf>
    <xf numFmtId="0" fontId="50" fillId="0" borderId="0" xfId="0" applyFont="1" applyAlignment="1">
      <alignment horizontal="center" wrapText="1"/>
    </xf>
    <xf numFmtId="0" fontId="0" fillId="0" borderId="51" xfId="0" applyFill="1" applyBorder="1" applyAlignment="1">
      <alignment/>
    </xf>
    <xf numFmtId="211" fontId="0" fillId="12" borderId="79" xfId="42" applyNumberFormat="1" applyFont="1" applyFill="1" applyBorder="1" applyAlignment="1">
      <alignment/>
    </xf>
    <xf numFmtId="0" fontId="28" fillId="42" borderId="36" xfId="0" applyFont="1" applyFill="1" applyBorder="1" applyAlignment="1">
      <alignment/>
    </xf>
    <xf numFmtId="171" fontId="0" fillId="0" borderId="61" xfId="42" applyFont="1" applyBorder="1" applyAlignment="1">
      <alignment horizontal="right"/>
    </xf>
    <xf numFmtId="0" fontId="0" fillId="0" borderId="0" xfId="0" applyFont="1" applyAlignment="1">
      <alignment wrapText="1"/>
    </xf>
    <xf numFmtId="0" fontId="0" fillId="12" borderId="38" xfId="0" applyFill="1" applyBorder="1" applyAlignment="1">
      <alignment/>
    </xf>
    <xf numFmtId="0" fontId="0" fillId="12" borderId="69" xfId="0" applyFill="1" applyBorder="1" applyAlignment="1">
      <alignment/>
    </xf>
    <xf numFmtId="0" fontId="0" fillId="43" borderId="60" xfId="0" applyFill="1" applyBorder="1" applyAlignment="1">
      <alignment/>
    </xf>
    <xf numFmtId="0" fontId="0" fillId="43" borderId="62" xfId="0" applyFill="1" applyBorder="1" applyAlignment="1">
      <alignment/>
    </xf>
    <xf numFmtId="209" fontId="49" fillId="36" borderId="80" xfId="42" applyNumberFormat="1" applyFont="1" applyFill="1" applyBorder="1" applyAlignment="1">
      <alignment/>
    </xf>
    <xf numFmtId="209" fontId="49" fillId="36" borderId="81" xfId="42" applyNumberFormat="1" applyFont="1" applyFill="1" applyBorder="1" applyAlignment="1">
      <alignment/>
    </xf>
    <xf numFmtId="0" fontId="0" fillId="33" borderId="60" xfId="0" applyFill="1" applyBorder="1" applyAlignment="1">
      <alignment/>
    </xf>
    <xf numFmtId="0" fontId="32" fillId="0" borderId="0" xfId="0" applyFont="1" applyAlignment="1">
      <alignment/>
    </xf>
    <xf numFmtId="0" fontId="0" fillId="33" borderId="70" xfId="0" applyNumberFormat="1" applyFont="1" applyFill="1" applyBorder="1" applyAlignment="1">
      <alignment/>
    </xf>
    <xf numFmtId="0" fontId="0" fillId="12" borderId="68" xfId="0" applyNumberFormat="1" applyFont="1" applyFill="1" applyBorder="1" applyAlignment="1">
      <alignment/>
    </xf>
    <xf numFmtId="0" fontId="0" fillId="43" borderId="70" xfId="0" applyNumberFormat="1" applyFont="1" applyFill="1" applyBorder="1" applyAlignment="1">
      <alignment/>
    </xf>
    <xf numFmtId="0" fontId="0" fillId="0" borderId="0" xfId="0" applyFont="1" applyAlignment="1">
      <alignment horizontal="left" wrapText="1"/>
    </xf>
    <xf numFmtId="38" fontId="0" fillId="36" borderId="48" xfId="42" applyNumberFormat="1" applyFont="1" applyFill="1" applyBorder="1" applyAlignment="1">
      <alignment/>
    </xf>
    <xf numFmtId="38" fontId="0" fillId="36" borderId="39" xfId="0" applyNumberFormat="1" applyFill="1" applyBorder="1" applyAlignment="1">
      <alignment/>
    </xf>
    <xf numFmtId="0" fontId="0" fillId="0" borderId="82" xfId="0" applyBorder="1" applyAlignment="1">
      <alignment horizontal="center"/>
    </xf>
    <xf numFmtId="0" fontId="0" fillId="0" borderId="82" xfId="0" applyBorder="1" applyAlignment="1">
      <alignment horizontal="center" wrapText="1"/>
    </xf>
    <xf numFmtId="0" fontId="0" fillId="0" borderId="61" xfId="0" applyBorder="1" applyAlignment="1">
      <alignment horizontal="center" wrapText="1"/>
    </xf>
    <xf numFmtId="0" fontId="0" fillId="0" borderId="61" xfId="0" applyBorder="1" applyAlignment="1">
      <alignment horizontal="center"/>
    </xf>
    <xf numFmtId="0" fontId="0" fillId="0" borderId="0" xfId="0" applyAlignment="1">
      <alignment/>
    </xf>
    <xf numFmtId="0" fontId="0" fillId="0" borderId="83" xfId="0" applyBorder="1" applyAlignment="1">
      <alignment horizontal="center" wrapText="1"/>
    </xf>
    <xf numFmtId="0" fontId="0" fillId="0" borderId="84" xfId="0" applyBorder="1" applyAlignment="1">
      <alignment horizontal="center" wrapText="1"/>
    </xf>
    <xf numFmtId="0" fontId="0" fillId="0" borderId="0" xfId="0" applyFont="1" applyAlignment="1">
      <alignment vertical="top" wrapText="1"/>
    </xf>
    <xf numFmtId="0" fontId="0" fillId="0" borderId="0" xfId="0" applyFont="1" applyAlignment="1">
      <alignment horizontal="left" vertical="top" wrapText="1"/>
    </xf>
    <xf numFmtId="0" fontId="49"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vertical="top"/>
    </xf>
    <xf numFmtId="0" fontId="50" fillId="0" borderId="0" xfId="0" applyFont="1" applyAlignment="1">
      <alignment horizontal="left" wrapText="1"/>
    </xf>
    <xf numFmtId="0" fontId="32" fillId="0" borderId="0" xfId="0" applyFont="1" applyAlignment="1">
      <alignment horizontal="left"/>
    </xf>
    <xf numFmtId="0" fontId="0" fillId="36" borderId="85" xfId="42" applyNumberFormat="1" applyFont="1" applyFill="1" applyBorder="1" applyAlignment="1">
      <alignment horizontal="left"/>
    </xf>
    <xf numFmtId="175" fontId="0" fillId="43" borderId="18" xfId="0" applyNumberFormat="1" applyFill="1" applyBorder="1" applyAlignment="1">
      <alignment/>
    </xf>
    <xf numFmtId="175" fontId="0" fillId="43" borderId="21" xfId="0" applyNumberFormat="1" applyFill="1" applyBorder="1" applyAlignment="1">
      <alignment/>
    </xf>
    <xf numFmtId="0" fontId="0" fillId="43" borderId="86" xfId="0" applyFill="1" applyBorder="1" applyAlignment="1">
      <alignment/>
    </xf>
    <xf numFmtId="175" fontId="0" fillId="43" borderId="24" xfId="0" applyNumberFormat="1" applyFill="1" applyBorder="1" applyAlignment="1">
      <alignment/>
    </xf>
    <xf numFmtId="0" fontId="28" fillId="42" borderId="48" xfId="0" applyFont="1" applyFill="1" applyBorder="1" applyAlignment="1">
      <alignment/>
    </xf>
    <xf numFmtId="0" fontId="0" fillId="0" borderId="0" xfId="0" applyFont="1" applyFill="1" applyAlignment="1">
      <alignment/>
    </xf>
    <xf numFmtId="222" fontId="0" fillId="39" borderId="20" xfId="0" applyNumberFormat="1" applyFill="1" applyBorder="1" applyAlignment="1">
      <alignment/>
    </xf>
    <xf numFmtId="222" fontId="0" fillId="36" borderId="39" xfId="0" applyNumberFormat="1" applyFill="1" applyBorder="1" applyAlignment="1">
      <alignment horizontal="center"/>
    </xf>
    <xf numFmtId="0" fontId="0" fillId="39" borderId="19" xfId="0" applyFill="1" applyBorder="1" applyAlignment="1">
      <alignment/>
    </xf>
    <xf numFmtId="0" fontId="0" fillId="39" borderId="20" xfId="0" applyFill="1" applyBorder="1" applyAlignment="1">
      <alignment horizontal="left" vertical="top"/>
    </xf>
    <xf numFmtId="0" fontId="0" fillId="39" borderId="16" xfId="0" applyFill="1" applyBorder="1" applyAlignment="1">
      <alignment/>
    </xf>
    <xf numFmtId="175" fontId="0" fillId="39" borderId="17" xfId="0" applyNumberFormat="1" applyFill="1" applyBorder="1" applyAlignment="1">
      <alignment/>
    </xf>
    <xf numFmtId="0" fontId="0" fillId="39" borderId="17" xfId="0" applyFill="1" applyBorder="1" applyAlignment="1">
      <alignment/>
    </xf>
    <xf numFmtId="175" fontId="0" fillId="39" borderId="20" xfId="0" applyNumberFormat="1" applyFill="1" applyBorder="1" applyAlignment="1">
      <alignment/>
    </xf>
    <xf numFmtId="0" fontId="0" fillId="39" borderId="87" xfId="0" applyFill="1" applyBorder="1" applyAlignment="1">
      <alignment/>
    </xf>
    <xf numFmtId="0" fontId="0" fillId="39" borderId="22" xfId="0" applyFill="1" applyBorder="1" applyAlignment="1">
      <alignment/>
    </xf>
    <xf numFmtId="175" fontId="0" fillId="39" borderId="23" xfId="0" applyNumberFormat="1" applyFill="1" applyBorder="1" applyAlignment="1">
      <alignment/>
    </xf>
    <xf numFmtId="0" fontId="0" fillId="39" borderId="23" xfId="0" applyFill="1" applyBorder="1" applyAlignment="1">
      <alignment/>
    </xf>
    <xf numFmtId="0" fontId="0" fillId="39" borderId="21" xfId="0" applyFill="1" applyBorder="1" applyAlignment="1">
      <alignment/>
    </xf>
    <xf numFmtId="0" fontId="0" fillId="0" borderId="88" xfId="0" applyBorder="1" applyAlignment="1">
      <alignment horizontal="center"/>
    </xf>
    <xf numFmtId="211" fontId="0" fillId="36" borderId="89" xfId="0" applyNumberFormat="1" applyFill="1" applyBorder="1" applyAlignment="1">
      <alignment horizontal="center"/>
    </xf>
    <xf numFmtId="211" fontId="0" fillId="36" borderId="0" xfId="0" applyNumberFormat="1" applyFill="1" applyBorder="1" applyAlignment="1">
      <alignment horizontal="center"/>
    </xf>
    <xf numFmtId="211" fontId="0" fillId="36" borderId="61" xfId="0" applyNumberFormat="1" applyFill="1" applyBorder="1" applyAlignment="1">
      <alignment horizontal="center"/>
    </xf>
    <xf numFmtId="211" fontId="0" fillId="33" borderId="39" xfId="0" applyNumberFormat="1" applyFill="1" applyBorder="1" applyAlignment="1">
      <alignment/>
    </xf>
    <xf numFmtId="211" fontId="0" fillId="33" borderId="0" xfId="0" applyNumberFormat="1" applyFill="1" applyAlignment="1">
      <alignment vertical="top"/>
    </xf>
    <xf numFmtId="0" fontId="0" fillId="37" borderId="0" xfId="0" applyFill="1" applyBorder="1" applyAlignment="1">
      <alignment horizontal="center" vertical="top"/>
    </xf>
    <xf numFmtId="0" fontId="0" fillId="35" borderId="0" xfId="0" applyFill="1" applyBorder="1" applyAlignment="1">
      <alignment horizontal="right"/>
    </xf>
    <xf numFmtId="0" fontId="0" fillId="45" borderId="68" xfId="0" applyFont="1" applyFill="1" applyBorder="1" applyAlignment="1">
      <alignment/>
    </xf>
    <xf numFmtId="0" fontId="0" fillId="45" borderId="87" xfId="0" applyFont="1" applyFill="1" applyBorder="1" applyAlignment="1">
      <alignment/>
    </xf>
    <xf numFmtId="0" fontId="0" fillId="45" borderId="17" xfId="0" applyFont="1" applyFill="1" applyBorder="1" applyAlignment="1">
      <alignment/>
    </xf>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0" fontId="0" fillId="0" borderId="0" xfId="0" applyFont="1" applyAlignment="1">
      <alignment horizontal="left" wrapText="1"/>
    </xf>
    <xf numFmtId="0" fontId="0" fillId="0" borderId="50" xfId="0" applyBorder="1" applyAlignment="1">
      <alignment horizontal="left" wrapText="1"/>
    </xf>
    <xf numFmtId="0" fontId="50" fillId="0" borderId="0" xfId="0" applyFont="1" applyAlignment="1">
      <alignment horizontal="left" wrapText="1"/>
    </xf>
    <xf numFmtId="0" fontId="62" fillId="0" borderId="0" xfId="0" applyFont="1" applyAlignment="1">
      <alignment horizontal="center" vertical="top" wrapText="1"/>
    </xf>
    <xf numFmtId="0" fontId="0" fillId="0" borderId="0" xfId="0" applyFont="1" applyAlignment="1">
      <alignment horizontal="left" vertical="top" wrapText="1"/>
    </xf>
    <xf numFmtId="0" fontId="49" fillId="0" borderId="0" xfId="0" applyFont="1" applyAlignment="1">
      <alignment horizontal="left" wrapText="1"/>
    </xf>
    <xf numFmtId="0" fontId="50" fillId="0" borderId="0" xfId="0" applyFont="1" applyAlignment="1">
      <alignment horizontal="center" wrapText="1"/>
    </xf>
    <xf numFmtId="0" fontId="59" fillId="0" borderId="0" xfId="0" applyFont="1" applyAlignment="1">
      <alignment horizontal="left" wrapText="1"/>
    </xf>
    <xf numFmtId="0" fontId="0" fillId="37" borderId="20" xfId="0" applyFill="1" applyBorder="1" applyAlignment="1">
      <alignment wrapText="1"/>
    </xf>
    <xf numFmtId="2" fontId="0" fillId="38" borderId="17" xfId="0" applyNumberFormat="1" applyFont="1" applyFill="1" applyBorder="1" applyAlignment="1">
      <alignment horizontal="center"/>
    </xf>
    <xf numFmtId="2" fontId="0" fillId="0" borderId="17"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hyperlink" Target="http://ec.europa.eu/budget/contracts_grants/info_contracts/inforeuro/inforeuro_en.cfm" TargetMode="External" /><Relationship Id="rId2" Type="http://schemas.openxmlformats.org/officeDocument/2006/relationships/hyperlink" Target="http://epp.eurostat.ec.europa.eu/tgm/download.do?tab=table&amp;plugin=1&amp;language=en&amp;pcode=tec00114" TargetMode="External" /><Relationship Id="rId3" Type="http://schemas.openxmlformats.org/officeDocument/2006/relationships/hyperlink" Target="https://www.gov.uk/government/uploads/system/uploads/attachment_data/file/51151/msb-technical-report.pdf" TargetMode="External" /><Relationship Id="rId4" Type="http://schemas.openxmlformats.org/officeDocument/2006/relationships/hyperlink" Target="http://www.dft.gov.uk/webtag/documents/archive/1208/unit3.9.5.pdf" TargetMode="External" /><Relationship Id="rId5" Type="http://schemas.openxmlformats.org/officeDocument/2006/relationships/hyperlink" Target="http://www.theaa.com/resources/Documents/pdf/motoring-advice/running-costs/petrol2013.pdf" TargetMode="External" /><Relationship Id="rId6" Type="http://schemas.openxmlformats.org/officeDocument/2006/relationships/hyperlink" Target="http://www.vtpi.org/tca/tca0510.pdf" TargetMode="External" /><Relationship Id="rId7"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76"/>
  <sheetViews>
    <sheetView zoomScale="90" zoomScaleNormal="90" zoomScalePageLayoutView="0" workbookViewId="0" topLeftCell="A1">
      <selection activeCell="A2" sqref="A2:E2"/>
    </sheetView>
  </sheetViews>
  <sheetFormatPr defaultColWidth="9.140625" defaultRowHeight="15"/>
  <cols>
    <col min="1" max="1" width="19.00390625" style="0" customWidth="1"/>
    <col min="2" max="2" width="15.8515625" style="0" customWidth="1"/>
    <col min="3" max="3" width="15.57421875" style="0" customWidth="1"/>
    <col min="4" max="4" width="13.57421875" style="0" customWidth="1"/>
    <col min="5" max="5" width="21.28125" style="0" customWidth="1"/>
    <col min="6" max="7" width="12.421875" style="0" customWidth="1"/>
    <col min="8" max="8" width="20.140625" style="0" customWidth="1"/>
    <col min="9" max="9" width="16.57421875" style="0" customWidth="1"/>
    <col min="10" max="10" width="5.421875" style="0" customWidth="1"/>
    <col min="11" max="11" width="14.28125" style="0" bestFit="1" customWidth="1"/>
    <col min="12" max="12" width="14.28125" style="0" customWidth="1"/>
    <col min="13" max="15" width="12.421875" style="0" customWidth="1"/>
    <col min="16" max="16" width="13.57421875" style="0" customWidth="1"/>
    <col min="17" max="17" width="14.8515625" style="0" customWidth="1"/>
    <col min="18" max="18" width="5.421875" style="0" customWidth="1"/>
    <col min="19" max="19" width="16.57421875" style="0" customWidth="1"/>
    <col min="20" max="20" width="4.7109375" style="0" customWidth="1"/>
    <col min="21" max="21" width="15.7109375" style="0" customWidth="1"/>
    <col min="22" max="22" width="16.28125" style="0" customWidth="1"/>
    <col min="23" max="23" width="17.00390625" style="0" customWidth="1"/>
    <col min="24" max="24" width="16.57421875" style="0" customWidth="1"/>
    <col min="25" max="25" width="17.00390625" style="0" customWidth="1"/>
    <col min="26" max="26" width="4.28125" style="0" customWidth="1"/>
    <col min="27" max="27" width="17.28125" style="0" customWidth="1"/>
  </cols>
  <sheetData>
    <row r="1" ht="18.75">
      <c r="A1" s="159" t="s">
        <v>299</v>
      </c>
    </row>
    <row r="2" spans="1:5" ht="89.25" customHeight="1">
      <c r="A2" s="416" t="s">
        <v>300</v>
      </c>
      <c r="B2" s="416"/>
      <c r="C2" s="416"/>
      <c r="D2" s="416"/>
      <c r="E2" s="416"/>
    </row>
    <row r="4" ht="18.75">
      <c r="A4" s="159" t="s">
        <v>181</v>
      </c>
    </row>
    <row r="5" spans="1:6" ht="63" customHeight="1">
      <c r="A5" s="418" t="s">
        <v>233</v>
      </c>
      <c r="B5" s="418"/>
      <c r="C5" s="418"/>
      <c r="D5" s="418"/>
      <c r="E5" s="418"/>
      <c r="F5" s="354"/>
    </row>
    <row r="7" ht="15">
      <c r="A7" s="162" t="s">
        <v>225</v>
      </c>
    </row>
    <row r="8" spans="1:5" ht="30" customHeight="1">
      <c r="A8" s="417" t="s">
        <v>228</v>
      </c>
      <c r="B8" s="417"/>
      <c r="C8" s="417"/>
      <c r="D8" s="417"/>
      <c r="E8" s="417"/>
    </row>
    <row r="10" ht="15">
      <c r="A10" s="162" t="s">
        <v>226</v>
      </c>
    </row>
    <row r="11" spans="1:5" ht="15">
      <c r="A11" s="415" t="s">
        <v>182</v>
      </c>
      <c r="B11" s="415"/>
      <c r="C11" s="415"/>
      <c r="D11" s="415"/>
      <c r="E11" s="415"/>
    </row>
    <row r="13" ht="15">
      <c r="A13" s="162" t="s">
        <v>227</v>
      </c>
    </row>
    <row r="14" spans="1:5" ht="62.25" customHeight="1">
      <c r="A14" s="417" t="s">
        <v>254</v>
      </c>
      <c r="B14" s="417"/>
      <c r="C14" s="417"/>
      <c r="D14" s="417"/>
      <c r="E14" s="417"/>
    </row>
    <row r="15" ht="15">
      <c r="A15" s="166"/>
    </row>
    <row r="16" ht="15">
      <c r="A16" s="362" t="s">
        <v>232</v>
      </c>
    </row>
    <row r="17" spans="1:5" ht="32.25" customHeight="1">
      <c r="A17" s="419" t="s">
        <v>235</v>
      </c>
      <c r="B17" s="419"/>
      <c r="C17" s="419"/>
      <c r="D17" s="419"/>
      <c r="E17" s="419"/>
    </row>
    <row r="18" spans="1:5" ht="15">
      <c r="A18" s="363" t="s">
        <v>180</v>
      </c>
      <c r="B18" s="361"/>
      <c r="C18" s="361"/>
      <c r="D18" s="361"/>
      <c r="E18" s="259"/>
    </row>
    <row r="19" spans="1:7" ht="15">
      <c r="A19" s="384" t="s">
        <v>250</v>
      </c>
      <c r="B19" s="359"/>
      <c r="C19" s="359"/>
      <c r="D19" s="359"/>
      <c r="E19" s="360"/>
      <c r="F19" s="5"/>
      <c r="G19" s="5"/>
    </row>
    <row r="20" spans="1:5" ht="15">
      <c r="A20" s="364" t="s">
        <v>223</v>
      </c>
      <c r="B20" s="355"/>
      <c r="C20" s="355"/>
      <c r="D20" s="355"/>
      <c r="E20" s="356"/>
    </row>
    <row r="21" spans="1:5" ht="15">
      <c r="A21" s="365" t="s">
        <v>229</v>
      </c>
      <c r="B21" s="357"/>
      <c r="C21" s="357"/>
      <c r="D21" s="357"/>
      <c r="E21" s="358"/>
    </row>
    <row r="22" spans="1:9" ht="15">
      <c r="A22" s="420"/>
      <c r="B22" s="420"/>
      <c r="C22" s="420"/>
      <c r="D22" s="420"/>
      <c r="E22" s="420"/>
      <c r="F22" s="420"/>
      <c r="G22" s="420"/>
      <c r="H22" s="420"/>
      <c r="I22" s="420"/>
    </row>
    <row r="23" spans="1:9" ht="15">
      <c r="A23" s="383" t="s">
        <v>249</v>
      </c>
      <c r="B23" s="382"/>
      <c r="C23" s="382"/>
      <c r="D23" s="382"/>
      <c r="E23" s="382"/>
      <c r="F23" s="382"/>
      <c r="G23" s="382"/>
      <c r="H23" s="382"/>
      <c r="I23" s="382"/>
    </row>
    <row r="24" spans="1:5" ht="32.25" customHeight="1">
      <c r="A24" s="417" t="s">
        <v>295</v>
      </c>
      <c r="B24" s="417"/>
      <c r="C24" s="417"/>
      <c r="D24" s="417"/>
      <c r="E24" s="417"/>
    </row>
    <row r="25" spans="1:5" ht="15">
      <c r="A25" s="348"/>
      <c r="B25" s="348"/>
      <c r="C25" s="348"/>
      <c r="D25" s="348"/>
      <c r="E25" s="348"/>
    </row>
    <row r="26" spans="1:5" ht="15">
      <c r="A26" s="348"/>
      <c r="B26" s="348"/>
      <c r="C26" s="348"/>
      <c r="D26" s="348"/>
      <c r="E26" s="348"/>
    </row>
    <row r="28" ht="15">
      <c r="A28" s="162" t="s">
        <v>248</v>
      </c>
    </row>
    <row r="29" spans="1:7" ht="30.75" customHeight="1">
      <c r="A29" s="417" t="s">
        <v>230</v>
      </c>
      <c r="B29" s="417"/>
      <c r="C29" s="417"/>
      <c r="D29" s="417"/>
      <c r="E29" s="417"/>
      <c r="F29" s="348"/>
      <c r="G29" s="348"/>
    </row>
    <row r="30" spans="1:7" ht="15">
      <c r="A30" s="417" t="s">
        <v>231</v>
      </c>
      <c r="B30" s="417"/>
      <c r="C30" s="417"/>
      <c r="D30" s="417"/>
      <c r="E30" s="417"/>
      <c r="F30" s="348"/>
      <c r="G30" s="348"/>
    </row>
    <row r="31" spans="1:7" ht="15">
      <c r="A31" s="417" t="s">
        <v>234</v>
      </c>
      <c r="B31" s="417"/>
      <c r="C31" s="417"/>
      <c r="D31" s="417"/>
      <c r="E31" s="417"/>
      <c r="F31" s="348"/>
      <c r="G31" s="348"/>
    </row>
    <row r="32" ht="15">
      <c r="E32" s="5"/>
    </row>
    <row r="33" spans="1:7" ht="19.5" thickBot="1">
      <c r="A33" s="331" t="s">
        <v>114</v>
      </c>
      <c r="D33" s="331" t="s">
        <v>179</v>
      </c>
      <c r="E33" s="89"/>
      <c r="F33" s="5"/>
      <c r="G33" s="5"/>
    </row>
    <row r="34" spans="1:7" ht="15.75" thickTop="1">
      <c r="A34" s="218" t="s">
        <v>11</v>
      </c>
      <c r="B34" s="120" t="s">
        <v>294</v>
      </c>
      <c r="D34" s="218" t="s">
        <v>107</v>
      </c>
      <c r="E34" s="290">
        <f>S61</f>
        <v>-471082.7860349724</v>
      </c>
      <c r="F34" s="350"/>
      <c r="G34" s="173"/>
    </row>
    <row r="35" spans="1:5" ht="15">
      <c r="A35" s="190" t="s">
        <v>115</v>
      </c>
      <c r="B35" s="120">
        <v>200000</v>
      </c>
      <c r="D35" s="190" t="s">
        <v>106</v>
      </c>
      <c r="E35" s="290">
        <f>Y61</f>
        <v>306570.8971738883</v>
      </c>
    </row>
    <row r="36" spans="1:5" ht="15">
      <c r="A36" s="190" t="s">
        <v>212</v>
      </c>
      <c r="B36" s="120">
        <v>2014</v>
      </c>
      <c r="D36" s="190" t="s">
        <v>128</v>
      </c>
      <c r="E36" s="290">
        <f>AA61</f>
        <v>-777653.6832088608</v>
      </c>
    </row>
    <row r="37" spans="1:6" ht="15">
      <c r="A37" s="190" t="s">
        <v>224</v>
      </c>
      <c r="B37" s="230">
        <f>B36+14</f>
        <v>2028</v>
      </c>
      <c r="D37" s="190" t="s">
        <v>129</v>
      </c>
      <c r="E37" s="214">
        <f>E34/E35</f>
        <v>-1.536619393352828</v>
      </c>
      <c r="F37" t="s">
        <v>221</v>
      </c>
    </row>
    <row r="38" spans="1:2" ht="15">
      <c r="A38" s="190" t="s">
        <v>10</v>
      </c>
      <c r="B38" s="230">
        <v>300</v>
      </c>
    </row>
    <row r="39" spans="1:5" ht="15">
      <c r="A39" s="190" t="s">
        <v>12</v>
      </c>
      <c r="B39" s="230">
        <v>3.5</v>
      </c>
      <c r="D39" s="173"/>
      <c r="E39" s="291"/>
    </row>
    <row r="40" spans="2:26" ht="18.75">
      <c r="B40" s="5"/>
      <c r="C40" s="5"/>
      <c r="D40" s="5"/>
      <c r="E40" s="5"/>
      <c r="F40" s="5"/>
      <c r="G40" s="5"/>
      <c r="H40" s="5"/>
      <c r="I40" s="5"/>
      <c r="J40" s="5"/>
      <c r="K40" s="5"/>
      <c r="L40" s="5"/>
      <c r="M40" s="5"/>
      <c r="N40" s="5"/>
      <c r="O40" s="5"/>
      <c r="P40" s="5"/>
      <c r="Q40" s="5"/>
      <c r="R40" s="5"/>
      <c r="S40" s="5"/>
      <c r="U40" s="328" t="s">
        <v>3</v>
      </c>
      <c r="V40" s="310"/>
      <c r="W40" s="310"/>
      <c r="X40" s="310"/>
      <c r="Y40" s="310"/>
      <c r="Z40" s="5"/>
    </row>
    <row r="41" spans="1:27" ht="18.75">
      <c r="A41" s="306" t="s">
        <v>1</v>
      </c>
      <c r="B41" s="297"/>
      <c r="C41" s="297"/>
      <c r="D41" s="297"/>
      <c r="E41" s="297"/>
      <c r="F41" s="297"/>
      <c r="G41" s="297"/>
      <c r="H41" s="297"/>
      <c r="I41" s="297"/>
      <c r="J41" s="112"/>
      <c r="K41" s="308" t="s">
        <v>2</v>
      </c>
      <c r="L41" s="309"/>
      <c r="M41" s="309"/>
      <c r="N41" s="309"/>
      <c r="O41" s="308"/>
      <c r="P41" s="308"/>
      <c r="Q41" s="309"/>
      <c r="R41" s="112"/>
      <c r="S41" s="5"/>
      <c r="T41" s="112"/>
      <c r="U41" s="298" t="s">
        <v>1</v>
      </c>
      <c r="V41" s="297"/>
      <c r="W41" s="329" t="s">
        <v>2</v>
      </c>
      <c r="X41" s="330"/>
      <c r="Y41" s="310"/>
      <c r="Z41" s="112"/>
      <c r="AA41" s="5"/>
    </row>
    <row r="42" spans="1:28" ht="75.75" customHeight="1">
      <c r="A42" s="372" t="s">
        <v>148</v>
      </c>
      <c r="B42" s="373"/>
      <c r="C42" s="372" t="s">
        <v>0</v>
      </c>
      <c r="D42" s="371" t="s">
        <v>5</v>
      </c>
      <c r="E42" s="371" t="s">
        <v>6</v>
      </c>
      <c r="F42" s="371" t="s">
        <v>7</v>
      </c>
      <c r="G42" s="371" t="s">
        <v>85</v>
      </c>
      <c r="H42" s="371" t="s">
        <v>170</v>
      </c>
      <c r="I42" s="374" t="s">
        <v>171</v>
      </c>
      <c r="J42" s="302"/>
      <c r="K42" s="369" t="s">
        <v>0</v>
      </c>
      <c r="L42" s="371" t="s">
        <v>5</v>
      </c>
      <c r="M42" s="371" t="s">
        <v>6</v>
      </c>
      <c r="N42" s="371" t="s">
        <v>7</v>
      </c>
      <c r="O42" s="371" t="s">
        <v>85</v>
      </c>
      <c r="P42" s="371" t="s">
        <v>170</v>
      </c>
      <c r="Q42" s="374" t="s">
        <v>172</v>
      </c>
      <c r="R42" s="130"/>
      <c r="S42" s="375" t="s">
        <v>4</v>
      </c>
      <c r="T42" s="130"/>
      <c r="U42" s="370" t="s">
        <v>287</v>
      </c>
      <c r="V42" s="371" t="s">
        <v>288</v>
      </c>
      <c r="W42" s="370" t="s">
        <v>287</v>
      </c>
      <c r="X42" s="371" t="s">
        <v>288</v>
      </c>
      <c r="Y42" s="374" t="s">
        <v>99</v>
      </c>
      <c r="Z42" s="130"/>
      <c r="AA42" s="370" t="s">
        <v>8</v>
      </c>
      <c r="AB42" s="2"/>
    </row>
    <row r="43" spans="1:28" ht="15">
      <c r="A43" s="92">
        <v>0</v>
      </c>
      <c r="B43" s="256">
        <f>IF($B$36=2013,"Starting year --&gt;","")</f>
      </c>
      <c r="C43" s="92">
        <v>2013</v>
      </c>
      <c r="D43" s="300">
        <f>Time!N26</f>
        <v>0</v>
      </c>
      <c r="E43" s="301">
        <f>'Op cost New Public Vehicles'!J15+'Op cost NO New Vehicles'!E14+'Op cost New Public Vehicles'!D41</f>
        <v>0</v>
      </c>
      <c r="F43" s="300">
        <f>'Pollutants Public Transport'!F16+'Pollutants New Vehicles'!I29+'Pollutants Private Cars'!E13</f>
        <v>0</v>
      </c>
      <c r="G43" s="315">
        <f>Noise!E15</f>
        <v>0</v>
      </c>
      <c r="H43" s="300">
        <f>Safety!D14</f>
        <v>0</v>
      </c>
      <c r="I43" s="323">
        <f aca="true" t="shared" si="0" ref="I43:I60">(SUM(D43:H43)/(1+$B$39/100)^A43)</f>
        <v>0</v>
      </c>
      <c r="J43" s="326"/>
      <c r="K43" s="324">
        <f aca="true" t="shared" si="1" ref="K43:K60">C43</f>
        <v>2013</v>
      </c>
      <c r="L43" s="300">
        <f>Time!AB26</f>
        <v>0</v>
      </c>
      <c r="M43" s="301">
        <f>'Op cost NO New Vehicles'!J14+'Op cost New Public Vehicles'!T15+'Op cost New Public Vehicles'!I41</f>
        <v>0</v>
      </c>
      <c r="N43" s="315">
        <f>+'Pollutants New Vehicles'!R29+'Pollutants Public Transport'!L16+'Pollutants Private Cars'!J13</f>
        <v>0</v>
      </c>
      <c r="O43" s="315">
        <f>Noise!J15</f>
        <v>0</v>
      </c>
      <c r="P43" s="300">
        <f>Safety!H14</f>
        <v>0</v>
      </c>
      <c r="Q43" s="323">
        <f aca="true" t="shared" si="2" ref="Q43:Q60">SUM(L43:P43)/(1+$B$39/100)^A43</f>
        <v>0</v>
      </c>
      <c r="R43" s="112"/>
      <c r="S43" s="351">
        <f aca="true" t="shared" si="3" ref="S43:S60">I43-Q43</f>
        <v>0</v>
      </c>
      <c r="T43" s="112"/>
      <c r="U43" s="367">
        <f>'Construction Investment'!C20</f>
        <v>48600</v>
      </c>
      <c r="V43" s="367">
        <f>'Construction Investment'!D20</f>
        <v>0</v>
      </c>
      <c r="W43" s="368">
        <f>'Construction Investment'!G20</f>
        <v>364500</v>
      </c>
      <c r="X43" s="368">
        <f>'Construction Investment'!H20</f>
        <v>0</v>
      </c>
      <c r="Y43" s="323">
        <f aca="true" t="shared" si="4" ref="Y43:Y60">(X43+W43-U43-V43)/(1+$B$39/100)^A43</f>
        <v>315900</v>
      </c>
      <c r="Z43" s="112"/>
      <c r="AA43" s="327">
        <f>S43-Y43</f>
        <v>-315900</v>
      </c>
      <c r="AB43" s="2"/>
    </row>
    <row r="44" spans="1:28" ht="15">
      <c r="A44" s="92">
        <v>1</v>
      </c>
      <c r="B44" s="256" t="str">
        <f>IF($B$36=2014,"Starting year --&gt;","")</f>
        <v>Starting year --&gt;</v>
      </c>
      <c r="C44" s="92">
        <v>2014</v>
      </c>
      <c r="D44" s="300">
        <f>Time!N27</f>
        <v>1264628.641037126</v>
      </c>
      <c r="E44" s="301">
        <f>'Op cost New Public Vehicles'!J16+'Op cost NO New Vehicles'!E15+'Op cost New Public Vehicles'!D42</f>
        <v>870183.6892703698</v>
      </c>
      <c r="F44" s="300">
        <f>'Pollutants Public Transport'!F17+'Pollutants New Vehicles'!I30+'Pollutants Private Cars'!E14</f>
        <v>8872.727272755666</v>
      </c>
      <c r="G44" s="315">
        <f>Noise!E16</f>
        <v>0</v>
      </c>
      <c r="H44" s="300">
        <f>Safety!D15</f>
        <v>364415.5844167506</v>
      </c>
      <c r="I44" s="323">
        <f t="shared" si="0"/>
        <v>2423285.6444415483</v>
      </c>
      <c r="J44" s="326"/>
      <c r="K44" s="324">
        <f t="shared" si="1"/>
        <v>2014</v>
      </c>
      <c r="L44" s="300">
        <f>Time!AB27</f>
        <v>1276914.368067265</v>
      </c>
      <c r="M44" s="301">
        <f>'Op cost NO New Vehicles'!J15+'Op cost New Public Vehicles'!T16+'Op cost New Public Vehicles'!I42</f>
        <v>1078789.3682050477</v>
      </c>
      <c r="N44" s="315">
        <f>+'Pollutants New Vehicles'!R30+'Pollutants Public Transport'!L17+'Pollutants Private Cars'!J14</f>
        <v>11090.909090944582</v>
      </c>
      <c r="O44" s="315">
        <f>Noise!J16</f>
        <v>0</v>
      </c>
      <c r="P44" s="300">
        <f>Safety!H15</f>
        <v>182207.7922083753</v>
      </c>
      <c r="Q44" s="323">
        <f t="shared" si="2"/>
        <v>2462804.287508824</v>
      </c>
      <c r="R44" s="112"/>
      <c r="S44" s="351">
        <f t="shared" si="3"/>
        <v>-39518.64306727564</v>
      </c>
      <c r="T44" s="112"/>
      <c r="U44" s="367">
        <f>'Construction Investment'!C21</f>
        <v>0</v>
      </c>
      <c r="V44" s="367">
        <f>'Construction Investment'!D21</f>
        <v>3240</v>
      </c>
      <c r="W44" s="368">
        <f>'Construction Investment'!G21</f>
        <v>0</v>
      </c>
      <c r="X44" s="368">
        <f>'Construction Investment'!H21</f>
        <v>2430</v>
      </c>
      <c r="Y44" s="323">
        <f t="shared" si="4"/>
        <v>-782.608695652174</v>
      </c>
      <c r="Z44" s="112"/>
      <c r="AA44" s="327">
        <f>S44-Y44</f>
        <v>-38736.034371623464</v>
      </c>
      <c r="AB44" s="2"/>
    </row>
    <row r="45" spans="1:27" ht="15">
      <c r="A45" s="92">
        <v>2</v>
      </c>
      <c r="B45" s="256">
        <f>IF($B$36=2015,"Starting year --&gt;","")</f>
      </c>
      <c r="C45" s="92">
        <v>2015</v>
      </c>
      <c r="D45" s="300">
        <f>Time!N28</f>
        <v>1264628.641037126</v>
      </c>
      <c r="E45" s="301">
        <f>'Op cost New Public Vehicles'!J17+'Op cost NO New Vehicles'!E16+'Op cost New Public Vehicles'!D43</f>
        <v>870183.6892703698</v>
      </c>
      <c r="F45" s="300">
        <f>'Pollutants Public Transport'!F18+'Pollutants New Vehicles'!I31+'Pollutants Private Cars'!E15</f>
        <v>8872.727272755666</v>
      </c>
      <c r="G45" s="315">
        <f>Noise!E17</f>
        <v>0</v>
      </c>
      <c r="H45" s="300">
        <f>Safety!D16</f>
        <v>364415.5844167506</v>
      </c>
      <c r="I45" s="323">
        <f t="shared" si="0"/>
        <v>2341338.7869000467</v>
      </c>
      <c r="J45" s="287"/>
      <c r="K45" s="324">
        <f t="shared" si="1"/>
        <v>2015</v>
      </c>
      <c r="L45" s="300">
        <f>Time!AB28</f>
        <v>1276914.368067265</v>
      </c>
      <c r="M45" s="301">
        <f>'Op cost NO New Vehicles'!J16+'Op cost New Public Vehicles'!T17+'Op cost New Public Vehicles'!I43</f>
        <v>1078789.3682050477</v>
      </c>
      <c r="N45" s="315">
        <f>+'Pollutants New Vehicles'!R31+'Pollutants Public Transport'!L18+'Pollutants Private Cars'!J15</f>
        <v>11090.909090944582</v>
      </c>
      <c r="O45" s="315">
        <f>Noise!J17</f>
        <v>0</v>
      </c>
      <c r="P45" s="300">
        <f>Safety!H16</f>
        <v>182207.7922083753</v>
      </c>
      <c r="Q45" s="323">
        <f t="shared" si="2"/>
        <v>2379521.0507331635</v>
      </c>
      <c r="R45" s="287"/>
      <c r="S45" s="351">
        <f t="shared" si="3"/>
        <v>-38182.26383311674</v>
      </c>
      <c r="T45" s="287"/>
      <c r="U45" s="367">
        <f>'Construction Investment'!C22</f>
        <v>0</v>
      </c>
      <c r="V45" s="367">
        <f>'Construction Investment'!D22</f>
        <v>3240</v>
      </c>
      <c r="W45" s="368">
        <f>'Construction Investment'!G22</f>
        <v>0</v>
      </c>
      <c r="X45" s="368">
        <f>'Construction Investment'!H22</f>
        <v>2430</v>
      </c>
      <c r="Y45" s="323">
        <f t="shared" si="4"/>
        <v>-756.1436672967865</v>
      </c>
      <c r="Z45" s="287"/>
      <c r="AA45" s="327">
        <f>S45-Y45</f>
        <v>-37426.12016581996</v>
      </c>
    </row>
    <row r="46" spans="1:27" ht="15">
      <c r="A46" s="92">
        <v>3</v>
      </c>
      <c r="B46" s="256">
        <f>IF($B$36=2016,"Starting year --&gt;","")</f>
      </c>
      <c r="C46" s="92">
        <v>2016</v>
      </c>
      <c r="D46" s="300">
        <f>Time!N29</f>
        <v>1264628.641037126</v>
      </c>
      <c r="E46" s="301">
        <f>'Op cost New Public Vehicles'!J18+'Op cost NO New Vehicles'!E17+'Op cost New Public Vehicles'!D44</f>
        <v>870183.6892703698</v>
      </c>
      <c r="F46" s="300">
        <f>'Pollutants Public Transport'!F19+'Pollutants New Vehicles'!I32+'Pollutants Private Cars'!E16</f>
        <v>8872.727272755666</v>
      </c>
      <c r="G46" s="315">
        <f>Noise!E18</f>
        <v>0</v>
      </c>
      <c r="H46" s="300">
        <f>Safety!D17</f>
        <v>364415.5844167506</v>
      </c>
      <c r="I46" s="323">
        <f t="shared" si="0"/>
        <v>2262163.07913048</v>
      </c>
      <c r="J46" s="287"/>
      <c r="K46" s="324">
        <f t="shared" si="1"/>
        <v>2016</v>
      </c>
      <c r="L46" s="300">
        <f>Time!AB29</f>
        <v>1276914.368067265</v>
      </c>
      <c r="M46" s="301">
        <f>'Op cost NO New Vehicles'!J17+'Op cost New Public Vehicles'!T18+'Op cost New Public Vehicles'!I44</f>
        <v>1078789.3682050477</v>
      </c>
      <c r="N46" s="315">
        <f>+'Pollutants New Vehicles'!R32+'Pollutants Public Transport'!L19+'Pollutants Private Cars'!J16</f>
        <v>11090.909090944582</v>
      </c>
      <c r="O46" s="315">
        <f>Noise!J18</f>
        <v>0</v>
      </c>
      <c r="P46" s="300">
        <f>Safety!H17</f>
        <v>182207.7922083753</v>
      </c>
      <c r="Q46" s="323">
        <f t="shared" si="2"/>
        <v>2299054.1552977427</v>
      </c>
      <c r="R46" s="287"/>
      <c r="S46" s="351">
        <f t="shared" si="3"/>
        <v>-36891.076167262625</v>
      </c>
      <c r="T46" s="287"/>
      <c r="U46" s="367">
        <f>'Construction Investment'!C23</f>
        <v>0</v>
      </c>
      <c r="V46" s="367">
        <f>'Construction Investment'!D23</f>
        <v>3240</v>
      </c>
      <c r="W46" s="368">
        <f>'Construction Investment'!G23</f>
        <v>0</v>
      </c>
      <c r="X46" s="368">
        <f>'Construction Investment'!H23</f>
        <v>2430</v>
      </c>
      <c r="Y46" s="323">
        <f t="shared" si="4"/>
        <v>-730.5735915910981</v>
      </c>
      <c r="Z46" s="287"/>
      <c r="AA46" s="327">
        <f aca="true" t="shared" si="5" ref="AA46:AA60">S46-Y46</f>
        <v>-36160.502575671526</v>
      </c>
    </row>
    <row r="47" spans="1:27" ht="15">
      <c r="A47" s="92">
        <v>4</v>
      </c>
      <c r="B47" s="256">
        <f>IF($B$36=2017,"Starting year --&gt;","")</f>
      </c>
      <c r="C47" s="92">
        <v>2017</v>
      </c>
      <c r="D47" s="300">
        <f>Time!N30</f>
        <v>1264628.641037126</v>
      </c>
      <c r="E47" s="301">
        <f>'Op cost New Public Vehicles'!J19+'Op cost NO New Vehicles'!E18+'Op cost New Public Vehicles'!D45</f>
        <v>870183.6892703698</v>
      </c>
      <c r="F47" s="300">
        <f>'Pollutants Public Transport'!F20+'Pollutants New Vehicles'!I33+'Pollutants Private Cars'!E17</f>
        <v>8872.727272755666</v>
      </c>
      <c r="G47" s="315">
        <f>Noise!E19</f>
        <v>0</v>
      </c>
      <c r="H47" s="300">
        <f>Safety!D18</f>
        <v>364415.5844167506</v>
      </c>
      <c r="I47" s="323">
        <f t="shared" si="0"/>
        <v>2185664.8107540873</v>
      </c>
      <c r="J47" s="287"/>
      <c r="K47" s="324">
        <f t="shared" si="1"/>
        <v>2017</v>
      </c>
      <c r="L47" s="300">
        <f>Time!AB30</f>
        <v>1276914.368067265</v>
      </c>
      <c r="M47" s="301">
        <f>'Op cost NO New Vehicles'!J18+'Op cost New Public Vehicles'!T19+'Op cost New Public Vehicles'!I45</f>
        <v>1078789.3682050477</v>
      </c>
      <c r="N47" s="315">
        <f>+'Pollutants New Vehicles'!R33+'Pollutants Public Transport'!L20+'Pollutants Private Cars'!J17</f>
        <v>11090.909090944582</v>
      </c>
      <c r="O47" s="315">
        <f>Noise!J19</f>
        <v>0</v>
      </c>
      <c r="P47" s="300">
        <f>Safety!H18</f>
        <v>182207.7922083753</v>
      </c>
      <c r="Q47" s="323">
        <f t="shared" si="2"/>
        <v>2221308.3626065147</v>
      </c>
      <c r="R47" s="287"/>
      <c r="S47" s="351">
        <f t="shared" si="3"/>
        <v>-35643.55185242742</v>
      </c>
      <c r="T47" s="287"/>
      <c r="U47" s="367">
        <f>'Construction Investment'!C24</f>
        <v>0</v>
      </c>
      <c r="V47" s="367">
        <f>'Construction Investment'!D24</f>
        <v>3240</v>
      </c>
      <c r="W47" s="368">
        <f>'Construction Investment'!G24</f>
        <v>0</v>
      </c>
      <c r="X47" s="368">
        <f>'Construction Investment'!H24</f>
        <v>2430</v>
      </c>
      <c r="Y47" s="323">
        <f t="shared" si="4"/>
        <v>-705.8682044358436</v>
      </c>
      <c r="Z47" s="287"/>
      <c r="AA47" s="327">
        <f t="shared" si="5"/>
        <v>-34937.68364799158</v>
      </c>
    </row>
    <row r="48" spans="1:27" ht="15">
      <c r="A48" s="92">
        <v>5</v>
      </c>
      <c r="B48" s="256">
        <f>IF($B$36=2018,"Starting year --&gt;","")</f>
      </c>
      <c r="C48" s="92">
        <v>2018</v>
      </c>
      <c r="D48" s="300">
        <f>Time!N31</f>
        <v>1264628.641037126</v>
      </c>
      <c r="E48" s="301">
        <f>'Op cost New Public Vehicles'!J20+'Op cost NO New Vehicles'!E19+'Op cost New Public Vehicles'!D46</f>
        <v>870183.6892703698</v>
      </c>
      <c r="F48" s="300">
        <f>'Pollutants Public Transport'!F21+'Pollutants New Vehicles'!I34+'Pollutants Private Cars'!E18</f>
        <v>8872.727272755666</v>
      </c>
      <c r="G48" s="315">
        <f>Noise!E20</f>
        <v>0</v>
      </c>
      <c r="H48" s="300">
        <f>Safety!D19</f>
        <v>364415.5844167506</v>
      </c>
      <c r="I48" s="323">
        <f t="shared" si="0"/>
        <v>2111753.4403421134</v>
      </c>
      <c r="J48" s="287"/>
      <c r="K48" s="324">
        <f t="shared" si="1"/>
        <v>2018</v>
      </c>
      <c r="L48" s="300">
        <f>Time!AB31</f>
        <v>1276914.368067265</v>
      </c>
      <c r="M48" s="301">
        <f>'Op cost NO New Vehicles'!J19+'Op cost New Public Vehicles'!T20+'Op cost New Public Vehicles'!I46</f>
        <v>1078789.3682050477</v>
      </c>
      <c r="N48" s="315">
        <f>+'Pollutants New Vehicles'!R34+'Pollutants Public Transport'!L21+'Pollutants Private Cars'!J18</f>
        <v>11090.909090944582</v>
      </c>
      <c r="O48" s="315">
        <f>Noise!J20</f>
        <v>0</v>
      </c>
      <c r="P48" s="300">
        <f>Safety!H19</f>
        <v>182207.7922083753</v>
      </c>
      <c r="Q48" s="323">
        <f t="shared" si="2"/>
        <v>2146191.654692285</v>
      </c>
      <c r="R48" s="287"/>
      <c r="S48" s="351">
        <f t="shared" si="3"/>
        <v>-34438.21435017185</v>
      </c>
      <c r="T48" s="287"/>
      <c r="U48" s="367">
        <f>'Construction Investment'!C25</f>
        <v>0</v>
      </c>
      <c r="V48" s="367">
        <f>'Construction Investment'!D25</f>
        <v>3240</v>
      </c>
      <c r="W48" s="368">
        <f>'Construction Investment'!G25</f>
        <v>0</v>
      </c>
      <c r="X48" s="368">
        <f>'Construction Investment'!H25</f>
        <v>2430</v>
      </c>
      <c r="Y48" s="323">
        <f t="shared" si="4"/>
        <v>-681.9982651554046</v>
      </c>
      <c r="Z48" s="287"/>
      <c r="AA48" s="327">
        <f t="shared" si="5"/>
        <v>-33756.21608501645</v>
      </c>
    </row>
    <row r="49" spans="1:27" ht="15">
      <c r="A49" s="92">
        <v>6</v>
      </c>
      <c r="B49" s="256">
        <f>IF($B$36=2019,"Starting year --&gt;","")</f>
      </c>
      <c r="C49" s="92">
        <v>2019</v>
      </c>
      <c r="D49" s="300">
        <f>Time!N32</f>
        <v>1264628.641037126</v>
      </c>
      <c r="E49" s="301">
        <f>'Op cost New Public Vehicles'!J21+'Op cost NO New Vehicles'!E20+'Op cost New Public Vehicles'!D47</f>
        <v>870183.6892703698</v>
      </c>
      <c r="F49" s="300">
        <f>'Pollutants Public Transport'!F22+'Pollutants New Vehicles'!I35+'Pollutants Private Cars'!E19</f>
        <v>8872.727272755666</v>
      </c>
      <c r="G49" s="315">
        <f>Noise!E21</f>
        <v>0</v>
      </c>
      <c r="H49" s="300">
        <f>Safety!D20</f>
        <v>364415.5844167506</v>
      </c>
      <c r="I49" s="323">
        <f t="shared" si="0"/>
        <v>2040341.4882532496</v>
      </c>
      <c r="J49" s="287"/>
      <c r="K49" s="324">
        <f t="shared" si="1"/>
        <v>2019</v>
      </c>
      <c r="L49" s="300">
        <f>Time!AB32</f>
        <v>1276914.368067265</v>
      </c>
      <c r="M49" s="301">
        <f>'Op cost NO New Vehicles'!J20+'Op cost New Public Vehicles'!T21+'Op cost New Public Vehicles'!I47</f>
        <v>1078789.3682050477</v>
      </c>
      <c r="N49" s="315">
        <f>+'Pollutants New Vehicles'!R35+'Pollutants Public Transport'!L22+'Pollutants Private Cars'!J19</f>
        <v>11090.909090944582</v>
      </c>
      <c r="O49" s="315">
        <f>Noise!J21</f>
        <v>0</v>
      </c>
      <c r="P49" s="300">
        <f>Safety!H20</f>
        <v>182207.7922083753</v>
      </c>
      <c r="Q49" s="323">
        <f t="shared" si="2"/>
        <v>2073615.1253065555</v>
      </c>
      <c r="R49" s="287"/>
      <c r="S49" s="351">
        <f t="shared" si="3"/>
        <v>-33273.63705330598</v>
      </c>
      <c r="T49" s="287"/>
      <c r="U49" s="367">
        <f>'Construction Investment'!C26</f>
        <v>0</v>
      </c>
      <c r="V49" s="367">
        <f>'Construction Investment'!D26</f>
        <v>3240</v>
      </c>
      <c r="W49" s="368">
        <f>'Construction Investment'!G26</f>
        <v>0</v>
      </c>
      <c r="X49" s="368">
        <f>'Construction Investment'!H26</f>
        <v>2430</v>
      </c>
      <c r="Y49" s="323">
        <f t="shared" si="4"/>
        <v>-658.9355218892797</v>
      </c>
      <c r="Z49" s="287"/>
      <c r="AA49" s="327">
        <f t="shared" si="5"/>
        <v>-32614.7015314167</v>
      </c>
    </row>
    <row r="50" spans="1:27" ht="15">
      <c r="A50" s="92">
        <v>7</v>
      </c>
      <c r="B50" s="256">
        <f>IF($B$36=2020,"Starting year --&gt;","")</f>
      </c>
      <c r="C50" s="92">
        <v>2020</v>
      </c>
      <c r="D50" s="300">
        <f>Time!N33</f>
        <v>1264628.641037126</v>
      </c>
      <c r="E50" s="301">
        <f>'Op cost New Public Vehicles'!J22+'Op cost NO New Vehicles'!E21+'Op cost New Public Vehicles'!D48</f>
        <v>870183.6892703698</v>
      </c>
      <c r="F50" s="300">
        <f>'Pollutants Public Transport'!F23+'Pollutants New Vehicles'!I36+'Pollutants Private Cars'!E20</f>
        <v>8872.727272755666</v>
      </c>
      <c r="G50" s="315">
        <f>Noise!E22</f>
        <v>0</v>
      </c>
      <c r="H50" s="300">
        <f>Safety!D21</f>
        <v>364415.5844167506</v>
      </c>
      <c r="I50" s="323">
        <f t="shared" si="0"/>
        <v>1971344.4330949273</v>
      </c>
      <c r="J50" s="287"/>
      <c r="K50" s="324">
        <f t="shared" si="1"/>
        <v>2020</v>
      </c>
      <c r="L50" s="300">
        <f>Time!AB33</f>
        <v>1276914.368067265</v>
      </c>
      <c r="M50" s="301">
        <f>'Op cost NO New Vehicles'!J21+'Op cost New Public Vehicles'!T22+'Op cost New Public Vehicles'!I48</f>
        <v>1078789.3682050477</v>
      </c>
      <c r="N50" s="315">
        <f>+'Pollutants New Vehicles'!R36+'Pollutants Public Transport'!L23+'Pollutants Private Cars'!J20</f>
        <v>11090.909090944582</v>
      </c>
      <c r="O50" s="315">
        <f>Noise!J22</f>
        <v>0</v>
      </c>
      <c r="P50" s="300">
        <f>Safety!H21</f>
        <v>182207.7922083753</v>
      </c>
      <c r="Q50" s="323">
        <f t="shared" si="2"/>
        <v>2003492.8746923243</v>
      </c>
      <c r="R50" s="287"/>
      <c r="S50" s="351">
        <f t="shared" si="3"/>
        <v>-32148.441597396974</v>
      </c>
      <c r="T50" s="287"/>
      <c r="U50" s="367">
        <f>'Construction Investment'!C27</f>
        <v>0</v>
      </c>
      <c r="V50" s="367">
        <f>'Construction Investment'!D27</f>
        <v>3240</v>
      </c>
      <c r="W50" s="368">
        <f>'Construction Investment'!G27</f>
        <v>0</v>
      </c>
      <c r="X50" s="368">
        <f>'Construction Investment'!H27</f>
        <v>2430</v>
      </c>
      <c r="Y50" s="323">
        <f t="shared" si="4"/>
        <v>-636.6526781538935</v>
      </c>
      <c r="Z50" s="287"/>
      <c r="AA50" s="327">
        <f t="shared" si="5"/>
        <v>-31511.78891924308</v>
      </c>
    </row>
    <row r="51" spans="1:27" ht="15">
      <c r="A51" s="92">
        <v>8</v>
      </c>
      <c r="B51" s="256">
        <f>IF($B$36=2021,"Starting year --&gt;","")</f>
      </c>
      <c r="C51" s="92">
        <v>2021</v>
      </c>
      <c r="D51" s="300">
        <f>Time!N34</f>
        <v>1264628.641037126</v>
      </c>
      <c r="E51" s="301">
        <f>'Op cost New Public Vehicles'!J23+'Op cost NO New Vehicles'!E22+'Op cost New Public Vehicles'!D49</f>
        <v>870183.6892703698</v>
      </c>
      <c r="F51" s="300">
        <f>'Pollutants Public Transport'!F24+'Pollutants New Vehicles'!I37+'Pollutants Private Cars'!E21</f>
        <v>8872.727272755666</v>
      </c>
      <c r="G51" s="315">
        <f>Noise!E23</f>
        <v>0</v>
      </c>
      <c r="H51" s="300">
        <f>Safety!D22</f>
        <v>364415.5844167506</v>
      </c>
      <c r="I51" s="323">
        <f t="shared" si="0"/>
        <v>1904680.6116859205</v>
      </c>
      <c r="J51" s="287"/>
      <c r="K51" s="324">
        <f t="shared" si="1"/>
        <v>2021</v>
      </c>
      <c r="L51" s="300">
        <f>Time!AB34</f>
        <v>1276914.368067265</v>
      </c>
      <c r="M51" s="301">
        <f>'Op cost NO New Vehicles'!J22+'Op cost New Public Vehicles'!T23+'Op cost New Public Vehicles'!I49</f>
        <v>1078789.3682050477</v>
      </c>
      <c r="N51" s="315">
        <f>+'Pollutants New Vehicles'!R37+'Pollutants Public Transport'!L24+'Pollutants Private Cars'!J21</f>
        <v>11090.909090944582</v>
      </c>
      <c r="O51" s="315">
        <f>Noise!J23</f>
        <v>0</v>
      </c>
      <c r="P51" s="300">
        <f>Safety!H22</f>
        <v>182207.7922083753</v>
      </c>
      <c r="Q51" s="323">
        <f t="shared" si="2"/>
        <v>1935741.9079152895</v>
      </c>
      <c r="R51" s="287"/>
      <c r="S51" s="351">
        <f t="shared" si="3"/>
        <v>-31061.296229369007</v>
      </c>
      <c r="T51" s="287"/>
      <c r="U51" s="367">
        <f>'Construction Investment'!C28</f>
        <v>0</v>
      </c>
      <c r="V51" s="367">
        <f>'Construction Investment'!D28</f>
        <v>3240</v>
      </c>
      <c r="W51" s="368">
        <f>'Construction Investment'!G28</f>
        <v>0</v>
      </c>
      <c r="X51" s="368">
        <f>'Construction Investment'!H28</f>
        <v>2430</v>
      </c>
      <c r="Y51" s="323">
        <f t="shared" si="4"/>
        <v>-615.123360535163</v>
      </c>
      <c r="Z51" s="287"/>
      <c r="AA51" s="327">
        <f t="shared" si="5"/>
        <v>-30446.172868833844</v>
      </c>
    </row>
    <row r="52" spans="1:27" ht="15">
      <c r="A52" s="92">
        <v>9</v>
      </c>
      <c r="B52" s="256">
        <f>IF($B$36=2022,"Starting year --&gt;","")</f>
      </c>
      <c r="C52" s="92">
        <v>2022</v>
      </c>
      <c r="D52" s="300">
        <f>Time!N35</f>
        <v>1264628.641037126</v>
      </c>
      <c r="E52" s="301">
        <f>'Op cost New Public Vehicles'!J24+'Op cost NO New Vehicles'!E23+'Op cost New Public Vehicles'!D50</f>
        <v>870183.6892703698</v>
      </c>
      <c r="F52" s="300">
        <f>'Pollutants Public Transport'!F25+'Pollutants New Vehicles'!I38+'Pollutants Private Cars'!E22</f>
        <v>8872.727272755666</v>
      </c>
      <c r="G52" s="315">
        <f>Noise!E24</f>
        <v>0</v>
      </c>
      <c r="H52" s="300">
        <f>Safety!D23</f>
        <v>364415.5844167506</v>
      </c>
      <c r="I52" s="323">
        <f t="shared" si="0"/>
        <v>1840271.122401856</v>
      </c>
      <c r="J52" s="287"/>
      <c r="K52" s="324">
        <f t="shared" si="1"/>
        <v>2022</v>
      </c>
      <c r="L52" s="300">
        <f>Time!AB35</f>
        <v>1276914.368067265</v>
      </c>
      <c r="M52" s="301">
        <f>'Op cost NO New Vehicles'!J23+'Op cost New Public Vehicles'!T24+'Op cost New Public Vehicles'!I50</f>
        <v>1078789.3682050477</v>
      </c>
      <c r="N52" s="315">
        <f>+'Pollutants New Vehicles'!R38+'Pollutants Public Transport'!L25+'Pollutants Private Cars'!J22</f>
        <v>11090.909090944582</v>
      </c>
      <c r="O52" s="315">
        <f>Noise!J24</f>
        <v>0</v>
      </c>
      <c r="P52" s="300">
        <f>Safety!H23</f>
        <v>182207.7922083753</v>
      </c>
      <c r="Q52" s="323">
        <f t="shared" si="2"/>
        <v>1870282.0366331304</v>
      </c>
      <c r="R52" s="287"/>
      <c r="S52" s="351">
        <f t="shared" si="3"/>
        <v>-30010.91423127451</v>
      </c>
      <c r="T52" s="287"/>
      <c r="U52" s="367">
        <f>'Construction Investment'!C29</f>
        <v>0</v>
      </c>
      <c r="V52" s="367">
        <f>'Construction Investment'!D29</f>
        <v>3240</v>
      </c>
      <c r="W52" s="368">
        <f>'Construction Investment'!G29</f>
        <v>0</v>
      </c>
      <c r="X52" s="368">
        <f>'Construction Investment'!H29</f>
        <v>2430</v>
      </c>
      <c r="Y52" s="323">
        <f t="shared" si="4"/>
        <v>-594.3220874735874</v>
      </c>
      <c r="Z52" s="287"/>
      <c r="AA52" s="327">
        <f t="shared" si="5"/>
        <v>-29416.59214380092</v>
      </c>
    </row>
    <row r="53" spans="1:27" ht="15">
      <c r="A53" s="92">
        <v>10</v>
      </c>
      <c r="B53" s="256">
        <f>IF($B$36=2023,"Starting year --&gt;","")</f>
      </c>
      <c r="C53" s="92">
        <v>2023</v>
      </c>
      <c r="D53" s="300">
        <f>Time!N36</f>
        <v>1264628.641037126</v>
      </c>
      <c r="E53" s="301">
        <f>'Op cost New Public Vehicles'!J25+'Op cost NO New Vehicles'!E24+'Op cost New Public Vehicles'!D51</f>
        <v>870183.6892703698</v>
      </c>
      <c r="F53" s="300">
        <f>'Pollutants Public Transport'!F26+'Pollutants New Vehicles'!I39+'Pollutants Private Cars'!E23</f>
        <v>8872.727272755666</v>
      </c>
      <c r="G53" s="315">
        <f>Noise!E25</f>
        <v>0</v>
      </c>
      <c r="H53" s="300">
        <f>Safety!D24</f>
        <v>364415.5844167506</v>
      </c>
      <c r="I53" s="323">
        <f t="shared" si="0"/>
        <v>1778039.7317892327</v>
      </c>
      <c r="J53" s="287"/>
      <c r="K53" s="324">
        <f t="shared" si="1"/>
        <v>2023</v>
      </c>
      <c r="L53" s="300">
        <f>Time!AB36</f>
        <v>1276914.368067265</v>
      </c>
      <c r="M53" s="301">
        <f>'Op cost NO New Vehicles'!J24+'Op cost New Public Vehicles'!T25+'Op cost New Public Vehicles'!I51</f>
        <v>1078789.3682050477</v>
      </c>
      <c r="N53" s="315">
        <f>+'Pollutants New Vehicles'!R39+'Pollutants Public Transport'!L26+'Pollutants Private Cars'!J23</f>
        <v>11090.909090944582</v>
      </c>
      <c r="O53" s="315">
        <f>Noise!J25</f>
        <v>0</v>
      </c>
      <c r="P53" s="300">
        <f>Safety!H24</f>
        <v>182207.7922083753</v>
      </c>
      <c r="Q53" s="323">
        <f t="shared" si="2"/>
        <v>1807035.7841865995</v>
      </c>
      <c r="R53" s="287"/>
      <c r="S53" s="351">
        <f t="shared" si="3"/>
        <v>-28996.052397366846</v>
      </c>
      <c r="T53" s="287"/>
      <c r="U53" s="367">
        <f>'Construction Investment'!C30</f>
        <v>0</v>
      </c>
      <c r="V53" s="367">
        <f>'Construction Investment'!D30</f>
        <v>3240</v>
      </c>
      <c r="W53" s="368">
        <f>'Construction Investment'!G30</f>
        <v>0</v>
      </c>
      <c r="X53" s="368">
        <f>'Construction Investment'!H30</f>
        <v>2430</v>
      </c>
      <c r="Y53" s="323">
        <f t="shared" si="4"/>
        <v>-574.2242391049155</v>
      </c>
      <c r="Z53" s="287"/>
      <c r="AA53" s="327">
        <f t="shared" si="5"/>
        <v>-28421.82815826193</v>
      </c>
    </row>
    <row r="54" spans="1:27" ht="15">
      <c r="A54" s="92">
        <v>11</v>
      </c>
      <c r="B54" s="256">
        <f>IF($B$36=2024,"Starting year --&gt;","")</f>
      </c>
      <c r="C54" s="92">
        <v>2024</v>
      </c>
      <c r="D54" s="300">
        <f>Time!N37</f>
        <v>1264628.641037126</v>
      </c>
      <c r="E54" s="301">
        <f>'Op cost New Public Vehicles'!J26+'Op cost NO New Vehicles'!E25+'Op cost New Public Vehicles'!D52</f>
        <v>870183.6892703698</v>
      </c>
      <c r="F54" s="300">
        <f>'Pollutants Public Transport'!F27+'Pollutants New Vehicles'!I40+'Pollutants Private Cars'!E24</f>
        <v>8872.727272755666</v>
      </c>
      <c r="G54" s="315">
        <f>Noise!E26</f>
        <v>0</v>
      </c>
      <c r="H54" s="300">
        <f>Safety!D25</f>
        <v>364415.5844167506</v>
      </c>
      <c r="I54" s="323">
        <f t="shared" si="0"/>
        <v>1717912.7843374228</v>
      </c>
      <c r="J54" s="287"/>
      <c r="K54" s="324">
        <f t="shared" si="1"/>
        <v>2024</v>
      </c>
      <c r="L54" s="300">
        <f>Time!AB37</f>
        <v>1276914.368067265</v>
      </c>
      <c r="M54" s="301">
        <f>'Op cost NO New Vehicles'!J25+'Op cost New Public Vehicles'!T26+'Op cost New Public Vehicles'!I52</f>
        <v>1078789.3682050477</v>
      </c>
      <c r="N54" s="315">
        <f>+'Pollutants New Vehicles'!R40+'Pollutants Public Transport'!L27+'Pollutants Private Cars'!J24</f>
        <v>11090.909090944582</v>
      </c>
      <c r="O54" s="315">
        <f>Noise!J26</f>
        <v>0</v>
      </c>
      <c r="P54" s="300">
        <f>Safety!H25</f>
        <v>182207.7922083753</v>
      </c>
      <c r="Q54" s="323">
        <f t="shared" si="2"/>
        <v>1745928.293900096</v>
      </c>
      <c r="R54" s="287"/>
      <c r="S54" s="351">
        <f t="shared" si="3"/>
        <v>-28015.50956267328</v>
      </c>
      <c r="T54" s="287"/>
      <c r="U54" s="367">
        <f>'Construction Investment'!C31</f>
        <v>0</v>
      </c>
      <c r="V54" s="367">
        <f>'Construction Investment'!D31</f>
        <v>3240</v>
      </c>
      <c r="W54" s="368">
        <f>'Construction Investment'!G31</f>
        <v>0</v>
      </c>
      <c r="X54" s="368">
        <f>'Construction Investment'!H31</f>
        <v>2430</v>
      </c>
      <c r="Y54" s="323">
        <f t="shared" si="4"/>
        <v>-554.8060281206913</v>
      </c>
      <c r="Z54" s="287"/>
      <c r="AA54" s="327">
        <f t="shared" si="5"/>
        <v>-27460.703534552587</v>
      </c>
    </row>
    <row r="55" spans="1:27" ht="15">
      <c r="A55" s="92">
        <v>12</v>
      </c>
      <c r="B55" s="256">
        <f>IF($B$36=2025,"Starting year --&gt;","")</f>
      </c>
      <c r="C55" s="92">
        <v>2025</v>
      </c>
      <c r="D55" s="300">
        <f>Time!N38</f>
        <v>1264628.641037126</v>
      </c>
      <c r="E55" s="301">
        <f>'Op cost New Public Vehicles'!J27+'Op cost NO New Vehicles'!E26+'Op cost New Public Vehicles'!D53</f>
        <v>870183.6892703698</v>
      </c>
      <c r="F55" s="300">
        <f>'Pollutants Public Transport'!F28+'Pollutants New Vehicles'!I41+'Pollutants Private Cars'!E25</f>
        <v>8872.727272755666</v>
      </c>
      <c r="G55" s="315">
        <f>Noise!E27</f>
        <v>0</v>
      </c>
      <c r="H55" s="300">
        <f>Safety!D26</f>
        <v>364415.5844167506</v>
      </c>
      <c r="I55" s="323">
        <f t="shared" si="0"/>
        <v>1659819.115301858</v>
      </c>
      <c r="J55" s="287"/>
      <c r="K55" s="324">
        <f t="shared" si="1"/>
        <v>2025</v>
      </c>
      <c r="L55" s="300">
        <f>Time!AB38</f>
        <v>1276914.368067265</v>
      </c>
      <c r="M55" s="301">
        <f>'Op cost NO New Vehicles'!J26+'Op cost New Public Vehicles'!T27+'Op cost New Public Vehicles'!I53</f>
        <v>1078789.3682050477</v>
      </c>
      <c r="N55" s="315">
        <f>+'Pollutants New Vehicles'!R41+'Pollutants Public Transport'!L28+'Pollutants Private Cars'!J25</f>
        <v>11090.909090944582</v>
      </c>
      <c r="O55" s="315">
        <f>Noise!J27</f>
        <v>0</v>
      </c>
      <c r="P55" s="300">
        <f>Safety!H26</f>
        <v>182207.7922083753</v>
      </c>
      <c r="Q55" s="323">
        <f t="shared" si="2"/>
        <v>1686887.2404831846</v>
      </c>
      <c r="R55" s="287"/>
      <c r="S55" s="351">
        <f t="shared" si="3"/>
        <v>-27068.125181326643</v>
      </c>
      <c r="T55" s="287"/>
      <c r="U55" s="367">
        <f>'Construction Investment'!C32</f>
        <v>0</v>
      </c>
      <c r="V55" s="367">
        <f>'Construction Investment'!D32</f>
        <v>3240</v>
      </c>
      <c r="W55" s="368">
        <f>'Construction Investment'!G32</f>
        <v>0</v>
      </c>
      <c r="X55" s="368">
        <f>'Construction Investment'!H32</f>
        <v>2430</v>
      </c>
      <c r="Y55" s="323">
        <f t="shared" si="4"/>
        <v>-536.0444716141944</v>
      </c>
      <c r="Z55" s="287"/>
      <c r="AA55" s="327">
        <f t="shared" si="5"/>
        <v>-26532.08070971245</v>
      </c>
    </row>
    <row r="56" spans="1:27" ht="15">
      <c r="A56" s="92">
        <v>13</v>
      </c>
      <c r="B56" s="256">
        <f>IF($B$36=2026,"Starting year --&gt;","")</f>
      </c>
      <c r="C56" s="92">
        <v>2026</v>
      </c>
      <c r="D56" s="300">
        <f>Time!N39</f>
        <v>1264628.641037126</v>
      </c>
      <c r="E56" s="301">
        <f>'Op cost New Public Vehicles'!J28+'Op cost NO New Vehicles'!E27+'Op cost New Public Vehicles'!D54</f>
        <v>870183.6892703698</v>
      </c>
      <c r="F56" s="300">
        <f>'Pollutants Public Transport'!F29+'Pollutants New Vehicles'!I42+'Pollutants Private Cars'!E26</f>
        <v>8872.727272755666</v>
      </c>
      <c r="G56" s="315">
        <f>Noise!E28</f>
        <v>0</v>
      </c>
      <c r="H56" s="300">
        <f>Safety!D27</f>
        <v>364415.5844167506</v>
      </c>
      <c r="I56" s="323">
        <f t="shared" si="0"/>
        <v>1603689.9664752255</v>
      </c>
      <c r="J56" s="287"/>
      <c r="K56" s="324">
        <f t="shared" si="1"/>
        <v>2026</v>
      </c>
      <c r="L56" s="300">
        <f>Time!AB39</f>
        <v>1276914.368067265</v>
      </c>
      <c r="M56" s="301">
        <f>'Op cost NO New Vehicles'!J27+'Op cost New Public Vehicles'!T28+'Op cost New Public Vehicles'!I54</f>
        <v>1078789.3682050477</v>
      </c>
      <c r="N56" s="315">
        <f>+'Pollutants New Vehicles'!R42+'Pollutants Public Transport'!L29+'Pollutants Private Cars'!J26</f>
        <v>11090.909090944582</v>
      </c>
      <c r="O56" s="315">
        <f>Noise!J28</f>
        <v>0</v>
      </c>
      <c r="P56" s="300">
        <f>Safety!H27</f>
        <v>182207.7922083753</v>
      </c>
      <c r="Q56" s="323">
        <f t="shared" si="2"/>
        <v>1629842.744428198</v>
      </c>
      <c r="R56" s="287"/>
      <c r="S56" s="351">
        <f t="shared" si="3"/>
        <v>-26152.777952972567</v>
      </c>
      <c r="T56" s="287"/>
      <c r="U56" s="367">
        <f>'Construction Investment'!C33</f>
        <v>0</v>
      </c>
      <c r="V56" s="367">
        <f>'Construction Investment'!D33</f>
        <v>3240</v>
      </c>
      <c r="W56" s="368">
        <f>'Construction Investment'!G33</f>
        <v>0</v>
      </c>
      <c r="X56" s="368">
        <f>'Construction Investment'!H33</f>
        <v>2430</v>
      </c>
      <c r="Y56" s="323">
        <f t="shared" si="4"/>
        <v>-517.9173638784489</v>
      </c>
      <c r="Z56" s="287"/>
      <c r="AA56" s="327">
        <f t="shared" si="5"/>
        <v>-25634.860589094118</v>
      </c>
    </row>
    <row r="57" spans="1:27" ht="15">
      <c r="A57" s="92">
        <v>14</v>
      </c>
      <c r="B57" s="256">
        <f>IF($B$37=2027,"Finishing year --&gt;","")</f>
      </c>
      <c r="C57" s="92">
        <v>2027</v>
      </c>
      <c r="D57" s="300">
        <f>Time!N40</f>
        <v>1264628.641037126</v>
      </c>
      <c r="E57" s="301">
        <f>'Op cost New Public Vehicles'!J29+'Op cost NO New Vehicles'!E28+'Op cost New Public Vehicles'!D55</f>
        <v>870183.6892703698</v>
      </c>
      <c r="F57" s="300">
        <f>'Pollutants Public Transport'!F30+'Pollutants New Vehicles'!I43+'Pollutants Private Cars'!E27</f>
        <v>8872.727272755666</v>
      </c>
      <c r="G57" s="315">
        <f>Noise!E29</f>
        <v>0</v>
      </c>
      <c r="H57" s="300">
        <f>Safety!D28</f>
        <v>364415.5844167506</v>
      </c>
      <c r="I57" s="323">
        <f t="shared" si="0"/>
        <v>1549458.9048069809</v>
      </c>
      <c r="J57" s="287"/>
      <c r="K57" s="324">
        <f t="shared" si="1"/>
        <v>2027</v>
      </c>
      <c r="L57" s="300">
        <f>Time!AB40</f>
        <v>1276914.368067265</v>
      </c>
      <c r="M57" s="301">
        <f>'Op cost NO New Vehicles'!J28+'Op cost New Public Vehicles'!T29+'Op cost New Public Vehicles'!I55</f>
        <v>1078789.3682050477</v>
      </c>
      <c r="N57" s="315">
        <f>+'Pollutants New Vehicles'!R43+'Pollutants Public Transport'!L30+'Pollutants Private Cars'!J27</f>
        <v>11090.909090944582</v>
      </c>
      <c r="O57" s="315">
        <f>Noise!J29</f>
        <v>0</v>
      </c>
      <c r="P57" s="300">
        <f>Safety!H28</f>
        <v>182207.7922083753</v>
      </c>
      <c r="Q57" s="323">
        <f t="shared" si="2"/>
        <v>1574727.2893026066</v>
      </c>
      <c r="R57" s="287"/>
      <c r="S57" s="351">
        <f t="shared" si="3"/>
        <v>-25268.384495625738</v>
      </c>
      <c r="T57" s="287"/>
      <c r="U57" s="367">
        <f>'Construction Investment'!C34</f>
        <v>0</v>
      </c>
      <c r="V57" s="367">
        <f>'Construction Investment'!D34</f>
        <v>3240</v>
      </c>
      <c r="W57" s="368">
        <f>'Construction Investment'!G34</f>
        <v>0</v>
      </c>
      <c r="X57" s="368">
        <f>'Construction Investment'!H34</f>
        <v>2430</v>
      </c>
      <c r="Y57" s="323">
        <f t="shared" si="4"/>
        <v>-500.40325012410517</v>
      </c>
      <c r="Z57" s="287"/>
      <c r="AA57" s="327">
        <f t="shared" si="5"/>
        <v>-24767.981245501633</v>
      </c>
    </row>
    <row r="58" spans="1:27" ht="15">
      <c r="A58" s="92">
        <v>15</v>
      </c>
      <c r="B58" s="256" t="str">
        <f>IF($B$37=2028,"Finishing year --&gt;","")</f>
        <v>Finishing year --&gt;</v>
      </c>
      <c r="C58" s="92">
        <v>2028</v>
      </c>
      <c r="D58" s="300">
        <f>Time!N41</f>
        <v>1264628.641037126</v>
      </c>
      <c r="E58" s="301">
        <f>'Op cost New Public Vehicles'!J30+'Op cost NO New Vehicles'!E29+'Op cost New Public Vehicles'!D56</f>
        <v>870183.6892703698</v>
      </c>
      <c r="F58" s="300">
        <f>'Pollutants Public Transport'!F31+'Pollutants New Vehicles'!I44+'Pollutants Private Cars'!E28</f>
        <v>8872.727272755666</v>
      </c>
      <c r="G58" s="315">
        <f>Noise!E30</f>
        <v>0</v>
      </c>
      <c r="H58" s="300">
        <f>Safety!D29</f>
        <v>364415.5844167506</v>
      </c>
      <c r="I58" s="323">
        <f t="shared" si="0"/>
        <v>1497061.7437748609</v>
      </c>
      <c r="J58" s="287"/>
      <c r="K58" s="324">
        <f t="shared" si="1"/>
        <v>2028</v>
      </c>
      <c r="L58" s="300">
        <f>Time!AB41</f>
        <v>1276914.368067265</v>
      </c>
      <c r="M58" s="301">
        <f>'Op cost NO New Vehicles'!J29+'Op cost New Public Vehicles'!T30+'Op cost New Public Vehicles'!I56</f>
        <v>1078789.3682050477</v>
      </c>
      <c r="N58" s="315">
        <f>+'Pollutants New Vehicles'!R44+'Pollutants Public Transport'!L31+'Pollutants Private Cars'!J28</f>
        <v>11090.909090944582</v>
      </c>
      <c r="O58" s="315">
        <f>Noise!J30</f>
        <v>0</v>
      </c>
      <c r="P58" s="300">
        <f>Safety!H29</f>
        <v>182207.7922083753</v>
      </c>
      <c r="Q58" s="323">
        <f t="shared" si="2"/>
        <v>1521475.6418382674</v>
      </c>
      <c r="R58" s="287"/>
      <c r="S58" s="351">
        <f t="shared" si="3"/>
        <v>-24413.89806340658</v>
      </c>
      <c r="T58" s="287"/>
      <c r="U58" s="367">
        <f>'Construction Investment'!C35</f>
        <v>0</v>
      </c>
      <c r="V58" s="367">
        <f>'Construction Investment'!D35</f>
        <v>3240</v>
      </c>
      <c r="W58" s="368">
        <f>'Construction Investment'!G35</f>
        <v>0</v>
      </c>
      <c r="X58" s="368">
        <f>'Construction Investment'!H35</f>
        <v>2430</v>
      </c>
      <c r="Y58" s="323">
        <f t="shared" si="4"/>
        <v>-483.481401086092</v>
      </c>
      <c r="Z58" s="287"/>
      <c r="AA58" s="327">
        <f t="shared" si="5"/>
        <v>-23930.416662320487</v>
      </c>
    </row>
    <row r="59" spans="1:27" ht="15">
      <c r="A59" s="92">
        <v>16</v>
      </c>
      <c r="B59" s="256">
        <f>IF($B$37=2029,"Finishing year --&gt;","")</f>
      </c>
      <c r="C59" s="92">
        <v>2029</v>
      </c>
      <c r="D59" s="300">
        <f>Time!N42</f>
        <v>0</v>
      </c>
      <c r="E59" s="301">
        <f>'Op cost New Public Vehicles'!J31+'Op cost NO New Vehicles'!E30+'Op cost New Public Vehicles'!D57</f>
        <v>0</v>
      </c>
      <c r="F59" s="300">
        <f>'Pollutants Public Transport'!F32+'Pollutants New Vehicles'!I45+'Pollutants Private Cars'!E29</f>
        <v>0</v>
      </c>
      <c r="G59" s="315">
        <f>Noise!E31</f>
        <v>0</v>
      </c>
      <c r="H59" s="300">
        <f>Safety!D30</f>
        <v>0</v>
      </c>
      <c r="I59" s="323">
        <f t="shared" si="0"/>
        <v>0</v>
      </c>
      <c r="J59" s="287"/>
      <c r="K59" s="324">
        <f t="shared" si="1"/>
        <v>2029</v>
      </c>
      <c r="L59" s="300">
        <f>Time!AB42</f>
        <v>0</v>
      </c>
      <c r="M59" s="301">
        <f>'Op cost NO New Vehicles'!J30+'Op cost New Public Vehicles'!T31+'Op cost New Public Vehicles'!I57</f>
        <v>0</v>
      </c>
      <c r="N59" s="315">
        <f>+'Pollutants New Vehicles'!R45+'Pollutants Public Transport'!L32+'Pollutants Private Cars'!J29</f>
        <v>0</v>
      </c>
      <c r="O59" s="315">
        <f>Noise!J31</f>
        <v>0</v>
      </c>
      <c r="P59" s="300">
        <f>Safety!H30</f>
        <v>0</v>
      </c>
      <c r="Q59" s="323">
        <f t="shared" si="2"/>
        <v>0</v>
      </c>
      <c r="R59" s="287"/>
      <c r="S59" s="351">
        <f t="shared" si="3"/>
        <v>0</v>
      </c>
      <c r="T59" s="287"/>
      <c r="U59" s="367">
        <f>'Construction Investment'!C36</f>
        <v>0</v>
      </c>
      <c r="V59" s="367">
        <f>'Construction Investment'!D36</f>
        <v>0</v>
      </c>
      <c r="W59" s="368">
        <f>'Construction Investment'!G36</f>
        <v>0</v>
      </c>
      <c r="X59" s="368">
        <f>'Construction Investment'!H36</f>
        <v>0</v>
      </c>
      <c r="Y59" s="323">
        <f t="shared" si="4"/>
        <v>0</v>
      </c>
      <c r="Z59" s="287"/>
      <c r="AA59" s="327">
        <f t="shared" si="5"/>
        <v>0</v>
      </c>
    </row>
    <row r="60" spans="1:27" ht="15">
      <c r="A60" s="92">
        <v>17</v>
      </c>
      <c r="B60" s="256">
        <f>IF($B$37=2030,"Finishing year --&gt;","")</f>
      </c>
      <c r="C60" s="92">
        <v>2030</v>
      </c>
      <c r="D60" s="300">
        <f>Time!N43</f>
        <v>0</v>
      </c>
      <c r="E60" s="301">
        <f>'Op cost New Public Vehicles'!J32+'Op cost NO New Vehicles'!E31+'Op cost New Public Vehicles'!D58</f>
        <v>0</v>
      </c>
      <c r="F60" s="300">
        <f>'Pollutants Public Transport'!F33+'Pollutants New Vehicles'!I46+'Pollutants Private Cars'!E30</f>
        <v>0</v>
      </c>
      <c r="G60" s="315">
        <f>Noise!E32</f>
        <v>0</v>
      </c>
      <c r="H60" s="300">
        <f>Safety!D31</f>
        <v>0</v>
      </c>
      <c r="I60" s="323">
        <f t="shared" si="0"/>
        <v>0</v>
      </c>
      <c r="J60" s="287"/>
      <c r="K60" s="324">
        <f t="shared" si="1"/>
        <v>2030</v>
      </c>
      <c r="L60" s="300">
        <f>Time!AB43</f>
        <v>0</v>
      </c>
      <c r="M60" s="301">
        <f>'Op cost NO New Vehicles'!J31+'Op cost New Public Vehicles'!T32+'Op cost New Public Vehicles'!I58</f>
        <v>0</v>
      </c>
      <c r="N60" s="315">
        <f>+'Pollutants New Vehicles'!R46+'Pollutants Public Transport'!L33+'Pollutants Private Cars'!J30</f>
        <v>0</v>
      </c>
      <c r="O60" s="315">
        <f>Noise!J32</f>
        <v>0</v>
      </c>
      <c r="P60" s="300">
        <f>Safety!H31</f>
        <v>0</v>
      </c>
      <c r="Q60" s="323">
        <f t="shared" si="2"/>
        <v>0</v>
      </c>
      <c r="R60" s="287"/>
      <c r="S60" s="351">
        <f t="shared" si="3"/>
        <v>0</v>
      </c>
      <c r="T60" s="287"/>
      <c r="U60" s="367">
        <f>'Construction Investment'!C37</f>
        <v>0</v>
      </c>
      <c r="V60" s="367">
        <f>'Construction Investment'!D37</f>
        <v>0</v>
      </c>
      <c r="W60" s="368">
        <f>'Construction Investment'!G37</f>
        <v>0</v>
      </c>
      <c r="X60" s="368">
        <f>'Construction Investment'!H37</f>
        <v>0</v>
      </c>
      <c r="Y60" s="323">
        <f t="shared" si="4"/>
        <v>0</v>
      </c>
      <c r="Z60" s="287"/>
      <c r="AA60" s="327">
        <f t="shared" si="5"/>
        <v>0</v>
      </c>
    </row>
    <row r="61" spans="2:27" ht="15">
      <c r="B61" s="256">
        <f>IF($B$37=2031,"Finishing year --&gt;","")</f>
      </c>
      <c r="C61" s="92"/>
      <c r="D61" s="318"/>
      <c r="E61" s="318"/>
      <c r="F61" s="318"/>
      <c r="G61" s="318"/>
      <c r="H61" s="318"/>
      <c r="I61" s="318"/>
      <c r="J61" s="325"/>
      <c r="K61" s="318"/>
      <c r="L61" s="318"/>
      <c r="M61" s="319"/>
      <c r="N61" s="318"/>
      <c r="O61" s="318"/>
      <c r="P61" s="318"/>
      <c r="Q61" s="317"/>
      <c r="R61" s="353" t="s">
        <v>173</v>
      </c>
      <c r="S61" s="316">
        <f>SUM(S43:S60)</f>
        <v>-471082.7860349724</v>
      </c>
      <c r="T61" s="325"/>
      <c r="U61" s="318"/>
      <c r="V61" s="318"/>
      <c r="W61" s="318"/>
      <c r="X61" s="318" t="s">
        <v>174</v>
      </c>
      <c r="Y61" s="316">
        <f>+SUM(Y43:Y60)</f>
        <v>306570.8971738883</v>
      </c>
      <c r="Z61" s="286"/>
      <c r="AA61" s="316">
        <f>+SUM(AA43:AA60)</f>
        <v>-777653.6832088608</v>
      </c>
    </row>
    <row r="62" spans="1:26" ht="15">
      <c r="A62" s="92"/>
      <c r="B62" s="256">
        <f>IF($B$37=2032,"Finishing year --&gt;","")</f>
      </c>
      <c r="C62" s="92"/>
      <c r="D62" s="92"/>
      <c r="E62" s="92"/>
      <c r="F62" s="92"/>
      <c r="G62" s="92"/>
      <c r="H62" s="92"/>
      <c r="I62" s="92"/>
      <c r="J62" s="92"/>
      <c r="K62" s="92"/>
      <c r="L62" s="320"/>
      <c r="M62" s="321"/>
      <c r="N62" s="321"/>
      <c r="O62" s="321"/>
      <c r="P62" s="92"/>
      <c r="Q62" s="92"/>
      <c r="R62" s="92"/>
      <c r="S62" s="92"/>
      <c r="T62" s="92"/>
      <c r="U62" s="92"/>
      <c r="V62" s="92"/>
      <c r="W62" s="322" t="s">
        <v>222</v>
      </c>
      <c r="X62" s="92"/>
      <c r="Y62" s="92"/>
      <c r="Z62" s="92"/>
    </row>
    <row r="63" spans="2:24" ht="15">
      <c r="B63" s="256">
        <f>IF($B$37=2033,"Finishing year --&gt;","")</f>
      </c>
      <c r="D63" s="213"/>
      <c r="M63" s="1"/>
      <c r="N63" s="1"/>
      <c r="O63" s="1"/>
      <c r="R63" s="1"/>
      <c r="X63" s="288"/>
    </row>
    <row r="64" spans="13:24" ht="15">
      <c r="M64" s="1"/>
      <c r="N64" s="1"/>
      <c r="O64" s="1"/>
      <c r="X64" s="288"/>
    </row>
    <row r="65" spans="13:24" ht="15">
      <c r="M65" s="1"/>
      <c r="N65" s="1"/>
      <c r="O65" s="1"/>
      <c r="X65" s="288"/>
    </row>
    <row r="66" spans="13:24" ht="15">
      <c r="M66" s="1"/>
      <c r="N66" s="1"/>
      <c r="O66" s="1"/>
      <c r="X66" s="288"/>
    </row>
    <row r="67" spans="3:24" ht="15">
      <c r="C67" s="1"/>
      <c r="M67" s="1"/>
      <c r="N67" s="1"/>
      <c r="O67" s="1"/>
      <c r="X67" s="288"/>
    </row>
    <row r="68" spans="3:24" ht="15">
      <c r="C68" s="1"/>
      <c r="M68" s="1"/>
      <c r="N68" s="1"/>
      <c r="O68" s="1"/>
      <c r="X68" s="288"/>
    </row>
    <row r="69" spans="3:24" ht="15">
      <c r="C69" s="1"/>
      <c r="M69" s="1"/>
      <c r="N69" s="1"/>
      <c r="O69" s="1"/>
      <c r="X69" s="288"/>
    </row>
    <row r="70" spans="3:24" ht="15">
      <c r="C70" s="1"/>
      <c r="M70" s="1"/>
      <c r="N70" s="1"/>
      <c r="O70" s="1"/>
      <c r="X70" s="288"/>
    </row>
    <row r="71" spans="3:24" ht="15">
      <c r="C71" s="1"/>
      <c r="M71" s="1"/>
      <c r="N71" s="1"/>
      <c r="O71" s="1"/>
      <c r="X71" s="288"/>
    </row>
    <row r="72" spans="3:24" ht="15">
      <c r="C72" s="1"/>
      <c r="M72" s="1"/>
      <c r="N72" s="1"/>
      <c r="O72" s="1"/>
      <c r="X72" s="288"/>
    </row>
    <row r="73" spans="3:24" ht="15">
      <c r="C73" s="1"/>
      <c r="M73" s="1"/>
      <c r="N73" s="1"/>
      <c r="O73" s="1"/>
      <c r="X73" s="288"/>
    </row>
    <row r="74" spans="3:24" ht="15">
      <c r="C74" s="1"/>
      <c r="M74" s="1"/>
      <c r="N74" s="1"/>
      <c r="O74" s="1"/>
      <c r="X74" s="288"/>
    </row>
    <row r="75" spans="3:24" ht="15">
      <c r="C75" s="1"/>
      <c r="M75" s="1"/>
      <c r="N75" s="1"/>
      <c r="O75" s="1"/>
      <c r="X75" s="288"/>
    </row>
    <row r="76" spans="3:24" ht="15">
      <c r="C76" s="1"/>
      <c r="M76" s="1"/>
      <c r="N76" s="1"/>
      <c r="O76" s="1"/>
      <c r="X76" s="289"/>
    </row>
  </sheetData>
  <sheetProtection/>
  <mergeCells count="11">
    <mergeCell ref="A31:E31"/>
    <mergeCell ref="A17:E17"/>
    <mergeCell ref="A24:E24"/>
    <mergeCell ref="A22:I22"/>
    <mergeCell ref="A14:E14"/>
    <mergeCell ref="A11:E11"/>
    <mergeCell ref="A2:E2"/>
    <mergeCell ref="A8:E8"/>
    <mergeCell ref="A5:E5"/>
    <mergeCell ref="A29:E29"/>
    <mergeCell ref="A30:E30"/>
  </mergeCells>
  <dataValidations count="1">
    <dataValidation type="list" allowBlank="1" showInputMessage="1" showErrorMessage="1" sqref="B34">
      <formula1>Country</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5"/>
  <sheetViews>
    <sheetView zoomScalePageLayoutView="0" workbookViewId="0" topLeftCell="A19">
      <selection activeCell="A4" sqref="A4:B5"/>
    </sheetView>
  </sheetViews>
  <sheetFormatPr defaultColWidth="9.140625" defaultRowHeight="15"/>
  <cols>
    <col min="2" max="2" width="14.421875" style="0" customWidth="1"/>
    <col min="3" max="3" width="9.57421875" style="0" customWidth="1"/>
    <col min="4" max="4" width="11.7109375" style="0" customWidth="1"/>
    <col min="5" max="5" width="10.28125" style="0" customWidth="1"/>
    <col min="7" max="7" width="9.57421875" style="0" customWidth="1"/>
    <col min="8" max="8" width="9.7109375" style="0" customWidth="1"/>
    <col min="9" max="9" width="12.28125" style="0" customWidth="1"/>
  </cols>
  <sheetData>
    <row r="1" ht="15">
      <c r="A1" s="162" t="s">
        <v>204</v>
      </c>
    </row>
    <row r="2" ht="15">
      <c r="A2" t="s">
        <v>301</v>
      </c>
    </row>
    <row r="3" ht="15">
      <c r="A3" t="s">
        <v>302</v>
      </c>
    </row>
    <row r="4" spans="1:7" ht="15">
      <c r="A4" s="117"/>
      <c r="B4" s="118"/>
      <c r="C4" s="171"/>
      <c r="D4" s="85"/>
      <c r="E4" s="85"/>
      <c r="F4" s="85"/>
      <c r="G4" s="85"/>
    </row>
    <row r="5" spans="1:7" ht="15">
      <c r="A5" s="119"/>
      <c r="B5" s="170"/>
      <c r="C5" s="172"/>
      <c r="D5" s="86"/>
      <c r="E5" s="86"/>
      <c r="F5" s="86"/>
      <c r="G5" s="86"/>
    </row>
    <row r="6" spans="1:7" ht="15">
      <c r="A6" s="114"/>
      <c r="B6" s="116"/>
      <c r="C6" s="116"/>
      <c r="D6" s="86"/>
      <c r="E6" s="86"/>
      <c r="F6" s="86"/>
      <c r="G6" s="86"/>
    </row>
    <row r="7" spans="1:7" ht="15">
      <c r="A7" s="114"/>
      <c r="B7" s="116"/>
      <c r="C7" s="116"/>
      <c r="D7" s="86"/>
      <c r="E7" s="86"/>
      <c r="F7" s="86"/>
      <c r="G7" s="86"/>
    </row>
    <row r="8" spans="1:7" ht="15">
      <c r="A8" s="114"/>
      <c r="B8" s="116"/>
      <c r="C8" s="116"/>
      <c r="D8" s="86"/>
      <c r="E8" s="86"/>
      <c r="F8" s="86"/>
      <c r="G8" s="86"/>
    </row>
    <row r="9" spans="1:7" ht="15">
      <c r="A9" s="114"/>
      <c r="B9" s="116"/>
      <c r="C9" s="116"/>
      <c r="D9" s="86"/>
      <c r="E9" s="86"/>
      <c r="F9" s="86"/>
      <c r="G9" s="86"/>
    </row>
    <row r="10" spans="1:7" ht="15">
      <c r="A10" s="114"/>
      <c r="B10" s="116"/>
      <c r="C10" s="116"/>
      <c r="D10" s="86"/>
      <c r="E10" s="86"/>
      <c r="F10" s="86"/>
      <c r="G10" s="86"/>
    </row>
    <row r="11" spans="1:7" ht="15">
      <c r="A11" s="114"/>
      <c r="B11" s="116"/>
      <c r="C11" s="116"/>
      <c r="D11" s="86"/>
      <c r="E11" s="86"/>
      <c r="F11" s="86"/>
      <c r="G11" s="86"/>
    </row>
    <row r="12" spans="1:8" ht="15">
      <c r="A12" s="114"/>
      <c r="B12" s="115"/>
      <c r="C12" s="115"/>
      <c r="D12" s="116"/>
      <c r="E12" s="86"/>
      <c r="F12" s="86"/>
      <c r="G12" s="86"/>
      <c r="H12" s="86"/>
    </row>
    <row r="13" spans="2:11" ht="18.75">
      <c r="B13" s="306" t="s">
        <v>1</v>
      </c>
      <c r="C13" s="307"/>
      <c r="D13" s="307"/>
      <c r="E13" s="307"/>
      <c r="F13" s="109"/>
      <c r="G13" s="308" t="s">
        <v>2</v>
      </c>
      <c r="H13" s="308"/>
      <c r="I13" s="309"/>
      <c r="J13" s="309"/>
      <c r="K13" s="5"/>
    </row>
    <row r="14" spans="2:10" ht="195">
      <c r="B14" s="92" t="s">
        <v>0</v>
      </c>
      <c r="C14" s="314" t="s">
        <v>147</v>
      </c>
      <c r="D14" s="314" t="s">
        <v>10</v>
      </c>
      <c r="E14" s="314" t="s">
        <v>110</v>
      </c>
      <c r="F14" s="112"/>
      <c r="G14" s="92" t="s">
        <v>0</v>
      </c>
      <c r="H14" s="314" t="s">
        <v>147</v>
      </c>
      <c r="I14" s="347" t="s">
        <v>10</v>
      </c>
      <c r="J14" s="314" t="s">
        <v>110</v>
      </c>
    </row>
    <row r="15" spans="1:10" ht="15">
      <c r="A15" s="256">
        <f>IF('Main calculation'!$B$36=2013,"Starting year --&gt;","")</f>
      </c>
      <c r="B15" s="92">
        <f>'Main calculation'!C43</f>
        <v>2013</v>
      </c>
      <c r="C15" s="93"/>
      <c r="D15" s="346">
        <f>'Main calculation'!$B$38</f>
        <v>300</v>
      </c>
      <c r="E15" s="111">
        <f>C15*$B$5*D15</f>
        <v>0</v>
      </c>
      <c r="F15" s="112"/>
      <c r="G15" s="92">
        <f>'Main calculation'!C43</f>
        <v>2013</v>
      </c>
      <c r="H15" s="94"/>
      <c r="I15" s="346">
        <f>'Main calculation'!$B$38</f>
        <v>300</v>
      </c>
      <c r="J15" s="111">
        <f>H15*$B$5*I15</f>
        <v>0</v>
      </c>
    </row>
    <row r="16" spans="1:10" ht="15">
      <c r="A16" s="256" t="str">
        <f>IF('Main calculation'!$B$36=2014,"Starting year --&gt;","")</f>
        <v>Starting year --&gt;</v>
      </c>
      <c r="B16" s="92">
        <f>'Main calculation'!C44</f>
        <v>2014</v>
      </c>
      <c r="C16" s="93"/>
      <c r="D16" s="346">
        <f>'Main calculation'!$B$38</f>
        <v>300</v>
      </c>
      <c r="E16" s="111">
        <f>C16*$B$5*D16</f>
        <v>0</v>
      </c>
      <c r="F16" s="112"/>
      <c r="G16" s="92">
        <f>'Main calculation'!C44</f>
        <v>2014</v>
      </c>
      <c r="H16" s="94"/>
      <c r="I16" s="346">
        <f>'Main calculation'!$B$38</f>
        <v>300</v>
      </c>
      <c r="J16" s="111">
        <f>H16*$B$5*I16</f>
        <v>0</v>
      </c>
    </row>
    <row r="17" spans="1:10" ht="15">
      <c r="A17" s="256">
        <f>IF('Main calculation'!$B$36=2015,"Starting year --&gt;","")</f>
      </c>
      <c r="B17" s="92">
        <f>'Main calculation'!C45</f>
        <v>2015</v>
      </c>
      <c r="C17" s="93"/>
      <c r="D17" s="346">
        <f>'Main calculation'!$B$38</f>
        <v>300</v>
      </c>
      <c r="E17" s="111">
        <f aca="true" t="shared" si="0" ref="E17:E32">C17*$B$5*D17</f>
        <v>0</v>
      </c>
      <c r="F17" s="112"/>
      <c r="G17" s="92">
        <f>'Main calculation'!C45</f>
        <v>2015</v>
      </c>
      <c r="H17" s="94"/>
      <c r="I17" s="346">
        <f>'Main calculation'!$B$38</f>
        <v>300</v>
      </c>
      <c r="J17" s="111">
        <f aca="true" t="shared" si="1" ref="J17:J32">H17*$B$5*I17</f>
        <v>0</v>
      </c>
    </row>
    <row r="18" spans="1:10" ht="15">
      <c r="A18" s="256">
        <f>IF('Main calculation'!$B$36=2016,"Starting year --&gt;","")</f>
      </c>
      <c r="B18" s="92">
        <f>'Main calculation'!C46</f>
        <v>2016</v>
      </c>
      <c r="C18" s="93"/>
      <c r="D18" s="346">
        <f>'Main calculation'!$B$38</f>
        <v>300</v>
      </c>
      <c r="E18" s="111">
        <f t="shared" si="0"/>
        <v>0</v>
      </c>
      <c r="F18" s="112"/>
      <c r="G18" s="92">
        <f>'Main calculation'!C46</f>
        <v>2016</v>
      </c>
      <c r="H18" s="94"/>
      <c r="I18" s="346">
        <f>'Main calculation'!$B$38</f>
        <v>300</v>
      </c>
      <c r="J18" s="111">
        <f t="shared" si="1"/>
        <v>0</v>
      </c>
    </row>
    <row r="19" spans="1:10" ht="15">
      <c r="A19" s="256">
        <f>IF('Main calculation'!$B$36=2017,"Starting year --&gt;","")</f>
      </c>
      <c r="B19" s="92">
        <f>'Main calculation'!C47</f>
        <v>2017</v>
      </c>
      <c r="C19" s="93"/>
      <c r="D19" s="346">
        <f>'Main calculation'!$B$38</f>
        <v>300</v>
      </c>
      <c r="E19" s="111">
        <f t="shared" si="0"/>
        <v>0</v>
      </c>
      <c r="F19" s="112"/>
      <c r="G19" s="92">
        <f>'Main calculation'!C47</f>
        <v>2017</v>
      </c>
      <c r="H19" s="94"/>
      <c r="I19" s="346">
        <f>'Main calculation'!$B$38</f>
        <v>300</v>
      </c>
      <c r="J19" s="111">
        <f t="shared" si="1"/>
        <v>0</v>
      </c>
    </row>
    <row r="20" spans="1:10" ht="15">
      <c r="A20" s="256">
        <f>IF('Main calculation'!$B$36=2018,"Starting year --&gt;","")</f>
      </c>
      <c r="B20" s="92">
        <f>'Main calculation'!C48</f>
        <v>2018</v>
      </c>
      <c r="C20" s="93"/>
      <c r="D20" s="346">
        <f>'Main calculation'!$B$38</f>
        <v>300</v>
      </c>
      <c r="E20" s="111">
        <f t="shared" si="0"/>
        <v>0</v>
      </c>
      <c r="F20" s="112"/>
      <c r="G20" s="92">
        <f>'Main calculation'!C48</f>
        <v>2018</v>
      </c>
      <c r="H20" s="94"/>
      <c r="I20" s="346">
        <f>'Main calculation'!$B$38</f>
        <v>300</v>
      </c>
      <c r="J20" s="111">
        <f t="shared" si="1"/>
        <v>0</v>
      </c>
    </row>
    <row r="21" spans="1:10" ht="15">
      <c r="A21" s="256">
        <f>IF('Main calculation'!$B$36=2019,"Starting year --&gt;","")</f>
      </c>
      <c r="B21" s="92">
        <f>'Main calculation'!C49</f>
        <v>2019</v>
      </c>
      <c r="C21" s="93"/>
      <c r="D21" s="346">
        <f>'Main calculation'!$B$38</f>
        <v>300</v>
      </c>
      <c r="E21" s="111">
        <f t="shared" si="0"/>
        <v>0</v>
      </c>
      <c r="F21" s="112"/>
      <c r="G21" s="92">
        <f>'Main calculation'!C49</f>
        <v>2019</v>
      </c>
      <c r="H21" s="94"/>
      <c r="I21" s="346">
        <f>'Main calculation'!$B$38</f>
        <v>300</v>
      </c>
      <c r="J21" s="111">
        <f t="shared" si="1"/>
        <v>0</v>
      </c>
    </row>
    <row r="22" spans="1:10" ht="15">
      <c r="A22" s="256">
        <f>IF('Main calculation'!$B$36=2020,"Starting year --&gt;","")</f>
      </c>
      <c r="B22" s="92">
        <f>'Main calculation'!C50</f>
        <v>2020</v>
      </c>
      <c r="C22" s="93"/>
      <c r="D22" s="346">
        <f>'Main calculation'!$B$38</f>
        <v>300</v>
      </c>
      <c r="E22" s="111">
        <f t="shared" si="0"/>
        <v>0</v>
      </c>
      <c r="F22" s="112"/>
      <c r="G22" s="92">
        <f>'Main calculation'!C50</f>
        <v>2020</v>
      </c>
      <c r="H22" s="94"/>
      <c r="I22" s="346">
        <f>'Main calculation'!$B$38</f>
        <v>300</v>
      </c>
      <c r="J22" s="111">
        <f t="shared" si="1"/>
        <v>0</v>
      </c>
    </row>
    <row r="23" spans="1:10" ht="15">
      <c r="A23" s="256">
        <f>IF('Main calculation'!$B$36=2021,"Starting year --&gt;","")</f>
      </c>
      <c r="B23" s="92">
        <f>'Main calculation'!C51</f>
        <v>2021</v>
      </c>
      <c r="C23" s="93"/>
      <c r="D23" s="346">
        <f>'Main calculation'!$B$38</f>
        <v>300</v>
      </c>
      <c r="E23" s="111">
        <f t="shared" si="0"/>
        <v>0</v>
      </c>
      <c r="F23" s="112"/>
      <c r="G23" s="92">
        <f>'Main calculation'!C51</f>
        <v>2021</v>
      </c>
      <c r="H23" s="94"/>
      <c r="I23" s="346">
        <f>'Main calculation'!$B$38</f>
        <v>300</v>
      </c>
      <c r="J23" s="111">
        <f t="shared" si="1"/>
        <v>0</v>
      </c>
    </row>
    <row r="24" spans="1:10" ht="15">
      <c r="A24" s="256">
        <f>IF('Main calculation'!$B$36=2022,"Starting year --&gt;","")</f>
      </c>
      <c r="B24" s="92">
        <f>'Main calculation'!C52</f>
        <v>2022</v>
      </c>
      <c r="C24" s="93"/>
      <c r="D24" s="346">
        <f>'Main calculation'!$B$38</f>
        <v>300</v>
      </c>
      <c r="E24" s="111">
        <f t="shared" si="0"/>
        <v>0</v>
      </c>
      <c r="F24" s="112"/>
      <c r="G24" s="92">
        <f>'Main calculation'!C52</f>
        <v>2022</v>
      </c>
      <c r="H24" s="94"/>
      <c r="I24" s="346">
        <f>'Main calculation'!$B$38</f>
        <v>300</v>
      </c>
      <c r="J24" s="111">
        <f t="shared" si="1"/>
        <v>0</v>
      </c>
    </row>
    <row r="25" spans="1:10" ht="15">
      <c r="A25" s="256">
        <f>IF('Main calculation'!$B$36=2023,"Starting year --&gt;","")</f>
      </c>
      <c r="B25" s="92">
        <f>'Main calculation'!C53</f>
        <v>2023</v>
      </c>
      <c r="C25" s="93"/>
      <c r="D25" s="346">
        <f>'Main calculation'!$B$38</f>
        <v>300</v>
      </c>
      <c r="E25" s="111">
        <f t="shared" si="0"/>
        <v>0</v>
      </c>
      <c r="F25" s="112"/>
      <c r="G25" s="92">
        <f>'Main calculation'!C53</f>
        <v>2023</v>
      </c>
      <c r="H25" s="94"/>
      <c r="I25" s="346">
        <f>'Main calculation'!$B$38</f>
        <v>300</v>
      </c>
      <c r="J25" s="111">
        <f t="shared" si="1"/>
        <v>0</v>
      </c>
    </row>
    <row r="26" spans="1:10" ht="15">
      <c r="A26" s="256">
        <f>IF('Main calculation'!$B$36=2024,"Starting year --&gt;","")</f>
      </c>
      <c r="B26" s="92">
        <f>'Main calculation'!C54</f>
        <v>2024</v>
      </c>
      <c r="C26" s="93"/>
      <c r="D26" s="346">
        <f>'Main calculation'!$B$38</f>
        <v>300</v>
      </c>
      <c r="E26" s="111">
        <f t="shared" si="0"/>
        <v>0</v>
      </c>
      <c r="F26" s="112"/>
      <c r="G26" s="92">
        <f>'Main calculation'!C54</f>
        <v>2024</v>
      </c>
      <c r="H26" s="94"/>
      <c r="I26" s="346">
        <f>'Main calculation'!$B$38</f>
        <v>300</v>
      </c>
      <c r="J26" s="111">
        <f t="shared" si="1"/>
        <v>0</v>
      </c>
    </row>
    <row r="27" spans="1:10" ht="15">
      <c r="A27" s="256">
        <f>IF('Main calculation'!$B$36=2025,"Starting year --&gt;","")</f>
      </c>
      <c r="B27" s="92">
        <f>'Main calculation'!C55</f>
        <v>2025</v>
      </c>
      <c r="C27" s="93"/>
      <c r="D27" s="346">
        <f>'Main calculation'!$B$38</f>
        <v>300</v>
      </c>
      <c r="E27" s="111">
        <f t="shared" si="0"/>
        <v>0</v>
      </c>
      <c r="F27" s="112"/>
      <c r="G27" s="92">
        <f>'Main calculation'!C55</f>
        <v>2025</v>
      </c>
      <c r="H27" s="94"/>
      <c r="I27" s="346">
        <f>'Main calculation'!$B$38</f>
        <v>300</v>
      </c>
      <c r="J27" s="111">
        <f t="shared" si="1"/>
        <v>0</v>
      </c>
    </row>
    <row r="28" spans="1:10" ht="15">
      <c r="A28" s="256">
        <f>IF('Main calculation'!$B$36=2026,"Starting year --&gt;","")</f>
      </c>
      <c r="B28" s="92">
        <f>'Main calculation'!C56</f>
        <v>2026</v>
      </c>
      <c r="C28" s="93"/>
      <c r="D28" s="346">
        <f>'Main calculation'!$B$38</f>
        <v>300</v>
      </c>
      <c r="E28" s="111">
        <f t="shared" si="0"/>
        <v>0</v>
      </c>
      <c r="F28" s="112"/>
      <c r="G28" s="92">
        <f>'Main calculation'!C56</f>
        <v>2026</v>
      </c>
      <c r="H28" s="94"/>
      <c r="I28" s="346">
        <f>'Main calculation'!$B$38</f>
        <v>300</v>
      </c>
      <c r="J28" s="111">
        <f t="shared" si="1"/>
        <v>0</v>
      </c>
    </row>
    <row r="29" spans="1:10" ht="15">
      <c r="A29" s="256">
        <f>IF('Main calculation'!$B$36=2027,"Starting year --&gt;","")</f>
      </c>
      <c r="B29" s="92">
        <f>'Main calculation'!C57</f>
        <v>2027</v>
      </c>
      <c r="C29" s="93"/>
      <c r="D29" s="346">
        <f>'Main calculation'!$B$38</f>
        <v>300</v>
      </c>
      <c r="E29" s="111">
        <f t="shared" si="0"/>
        <v>0</v>
      </c>
      <c r="F29" s="112"/>
      <c r="G29" s="92">
        <f>'Main calculation'!C57</f>
        <v>2027</v>
      </c>
      <c r="H29" s="94"/>
      <c r="I29" s="346">
        <f>'Main calculation'!$B$38</f>
        <v>300</v>
      </c>
      <c r="J29" s="111">
        <f t="shared" si="1"/>
        <v>0</v>
      </c>
    </row>
    <row r="30" spans="1:10" ht="15">
      <c r="A30" s="256" t="str">
        <f>IF('Main calculation'!$B$37=2028,"Finishing year --&gt;","")</f>
        <v>Finishing year --&gt;</v>
      </c>
      <c r="B30" s="92">
        <f>'Main calculation'!C58</f>
        <v>2028</v>
      </c>
      <c r="C30" s="93"/>
      <c r="D30" s="346">
        <f>'Main calculation'!$B$38</f>
        <v>300</v>
      </c>
      <c r="E30" s="111">
        <f t="shared" si="0"/>
        <v>0</v>
      </c>
      <c r="F30" s="112"/>
      <c r="G30" s="92">
        <f>'Main calculation'!C58</f>
        <v>2028</v>
      </c>
      <c r="H30" s="94"/>
      <c r="I30" s="346">
        <f>'Main calculation'!$B$38</f>
        <v>300</v>
      </c>
      <c r="J30" s="111">
        <f t="shared" si="1"/>
        <v>0</v>
      </c>
    </row>
    <row r="31" spans="1:10" ht="15">
      <c r="A31" s="256">
        <f>IF('Main calculation'!$B$37=2029,"Finishing year --&gt;","")</f>
      </c>
      <c r="B31" s="92">
        <f>'Main calculation'!C59</f>
        <v>2029</v>
      </c>
      <c r="C31" s="93"/>
      <c r="D31" s="346">
        <f>'Main calculation'!$B$38</f>
        <v>300</v>
      </c>
      <c r="E31" s="111">
        <f t="shared" si="0"/>
        <v>0</v>
      </c>
      <c r="F31" s="112"/>
      <c r="G31" s="92">
        <f>'Main calculation'!C59</f>
        <v>2029</v>
      </c>
      <c r="H31" s="94"/>
      <c r="I31" s="346">
        <f>'Main calculation'!$B$38</f>
        <v>300</v>
      </c>
      <c r="J31" s="111">
        <f t="shared" si="1"/>
        <v>0</v>
      </c>
    </row>
    <row r="32" spans="1:10" ht="15">
      <c r="A32" s="256">
        <f>IF('Main calculation'!$B$37=2030,"Finishing year --&gt;","")</f>
      </c>
      <c r="B32" s="92">
        <f>'Main calculation'!C60</f>
        <v>2030</v>
      </c>
      <c r="C32" s="93"/>
      <c r="D32" s="346">
        <f>'Main calculation'!$B$38</f>
        <v>300</v>
      </c>
      <c r="E32" s="111">
        <f t="shared" si="0"/>
        <v>0</v>
      </c>
      <c r="F32" s="112"/>
      <c r="G32" s="92">
        <f>'Main calculation'!C60</f>
        <v>2030</v>
      </c>
      <c r="H32" s="94"/>
      <c r="I32" s="346">
        <f>'Main calculation'!$B$38</f>
        <v>300</v>
      </c>
      <c r="J32" s="111">
        <f t="shared" si="1"/>
        <v>0</v>
      </c>
    </row>
    <row r="33" ht="15">
      <c r="A33" s="256">
        <f>IF('Main calculation'!$B$37=2031,"Finishing year --&gt;","")</f>
      </c>
    </row>
    <row r="34" ht="15">
      <c r="A34" s="256">
        <f>IF('Main calculation'!$B$37=2032,"Finishing year --&gt;","")</f>
      </c>
    </row>
    <row r="35" ht="15">
      <c r="A35" s="256">
        <f>IF('Main calculation'!$B$37=2033,"Finishing year --&gt;","")</f>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26"/>
  <sheetViews>
    <sheetView zoomScalePageLayoutView="0" workbookViewId="0" topLeftCell="A1">
      <selection activeCell="L7" sqref="L7"/>
    </sheetView>
  </sheetViews>
  <sheetFormatPr defaultColWidth="9.140625" defaultRowHeight="15"/>
  <cols>
    <col min="3" max="3" width="13.28125" style="0" customWidth="1"/>
    <col min="4" max="4" width="13.140625" style="0" customWidth="1"/>
    <col min="5" max="5" width="9.00390625" style="0" customWidth="1"/>
    <col min="8" max="8" width="13.28125" style="0" customWidth="1"/>
    <col min="9" max="9" width="13.00390625" style="0" customWidth="1"/>
  </cols>
  <sheetData>
    <row r="1" ht="15">
      <c r="A1" s="162" t="s">
        <v>203</v>
      </c>
    </row>
    <row r="2" spans="1:6" s="163" customFormat="1" ht="45.75" customHeight="1">
      <c r="A2" s="417" t="s">
        <v>202</v>
      </c>
      <c r="B2" s="417"/>
      <c r="C2" s="417"/>
      <c r="D2" s="417"/>
      <c r="E2" s="417"/>
      <c r="F2" s="417"/>
    </row>
    <row r="3" spans="1:9" ht="15">
      <c r="A3" s="5"/>
      <c r="B3" s="5"/>
      <c r="C3" s="5"/>
      <c r="D3" s="5"/>
      <c r="E3" s="5"/>
      <c r="F3" s="5"/>
      <c r="G3" s="5"/>
      <c r="H3" s="5"/>
      <c r="I3" s="5"/>
    </row>
    <row r="4" spans="2:10" ht="18.75">
      <c r="B4" s="306" t="s">
        <v>1</v>
      </c>
      <c r="C4" s="307"/>
      <c r="D4" s="307"/>
      <c r="E4" s="307"/>
      <c r="F4" s="109"/>
      <c r="G4" s="308" t="s">
        <v>2</v>
      </c>
      <c r="H4" s="309"/>
      <c r="I4" s="309"/>
      <c r="J4" s="309"/>
    </row>
    <row r="5" spans="2:10" ht="120">
      <c r="B5" s="92" t="s">
        <v>0</v>
      </c>
      <c r="C5" s="314"/>
      <c r="D5" s="336" t="s">
        <v>10</v>
      </c>
      <c r="E5" s="336" t="s">
        <v>108</v>
      </c>
      <c r="F5" s="109"/>
      <c r="G5" s="92" t="s">
        <v>0</v>
      </c>
      <c r="H5" s="314"/>
      <c r="I5" s="336" t="s">
        <v>10</v>
      </c>
      <c r="J5" s="336" t="s">
        <v>108</v>
      </c>
    </row>
    <row r="6" spans="1:10" ht="15">
      <c r="A6" s="256">
        <f>IF('Main calculation'!$B$36=2013,"Starting year --&gt;","")</f>
      </c>
      <c r="B6" s="92">
        <f>'Main calculation'!C43</f>
        <v>2013</v>
      </c>
      <c r="C6" s="93"/>
      <c r="D6" s="344">
        <f>'Main calculation'!B38</f>
        <v>300</v>
      </c>
      <c r="E6" s="111"/>
      <c r="F6" s="109"/>
      <c r="G6" s="92">
        <f>'Main calculation'!C43</f>
        <v>2013</v>
      </c>
      <c r="H6" s="94"/>
      <c r="I6" s="92">
        <f>'Main calculation'!B38</f>
        <v>300</v>
      </c>
      <c r="J6" s="299"/>
    </row>
    <row r="7" spans="1:10" ht="15">
      <c r="A7" s="256" t="str">
        <f>IF('Main calculation'!$B$36=2014,"Starting year --&gt;","")</f>
        <v>Starting year --&gt;</v>
      </c>
      <c r="B7" s="92">
        <f>'Main calculation'!C44</f>
        <v>2014</v>
      </c>
      <c r="C7" s="93"/>
      <c r="D7" s="344">
        <f>'Main calculation'!B38</f>
        <v>300</v>
      </c>
      <c r="E7" s="111"/>
      <c r="F7" s="109"/>
      <c r="G7" s="92">
        <f>'Main calculation'!C44</f>
        <v>2014</v>
      </c>
      <c r="H7" s="94"/>
      <c r="I7" s="92">
        <f>'Main calculation'!B38</f>
        <v>300</v>
      </c>
      <c r="J7" s="299"/>
    </row>
    <row r="8" spans="1:10" ht="15">
      <c r="A8" s="256">
        <f>IF('Main calculation'!$B$36=2015,"Starting year --&gt;","")</f>
      </c>
      <c r="B8" s="92">
        <f>'Main calculation'!C45</f>
        <v>2015</v>
      </c>
      <c r="C8" s="93"/>
      <c r="D8" s="344">
        <f>'Main calculation'!B38</f>
        <v>300</v>
      </c>
      <c r="E8" s="111"/>
      <c r="F8" s="109"/>
      <c r="G8" s="92">
        <f>'Main calculation'!C45</f>
        <v>2015</v>
      </c>
      <c r="H8" s="94"/>
      <c r="I8" s="92">
        <f>'Main calculation'!B38</f>
        <v>300</v>
      </c>
      <c r="J8" s="299"/>
    </row>
    <row r="9" spans="1:10" ht="15">
      <c r="A9" s="256">
        <f>IF('Main calculation'!$B$36=2016,"Starting year --&gt;","")</f>
      </c>
      <c r="B9" s="92">
        <f>'Main calculation'!C46</f>
        <v>2016</v>
      </c>
      <c r="C9" s="93"/>
      <c r="D9" s="344">
        <f>'Main calculation'!B38</f>
        <v>300</v>
      </c>
      <c r="E9" s="111"/>
      <c r="F9" s="109"/>
      <c r="G9" s="92">
        <f>'Main calculation'!C46</f>
        <v>2016</v>
      </c>
      <c r="H9" s="94"/>
      <c r="I9" s="92">
        <f>'Main calculation'!B38</f>
        <v>300</v>
      </c>
      <c r="J9" s="299"/>
    </row>
    <row r="10" spans="1:10" ht="15">
      <c r="A10" s="256">
        <f>IF('Main calculation'!$B$36=2017,"Starting year --&gt;","")</f>
      </c>
      <c r="B10" s="92">
        <f>'Main calculation'!C47</f>
        <v>2017</v>
      </c>
      <c r="C10" s="93"/>
      <c r="D10" s="344">
        <f>'Main calculation'!B38</f>
        <v>300</v>
      </c>
      <c r="E10" s="111"/>
      <c r="F10" s="109"/>
      <c r="G10" s="92">
        <f>'Main calculation'!C47</f>
        <v>2017</v>
      </c>
      <c r="H10" s="94"/>
      <c r="I10" s="92">
        <f>'Main calculation'!B38</f>
        <v>300</v>
      </c>
      <c r="J10" s="299"/>
    </row>
    <row r="11" spans="1:10" ht="15">
      <c r="A11" s="256">
        <f>IF('Main calculation'!$B$36=2018,"Starting year --&gt;","")</f>
      </c>
      <c r="B11" s="92">
        <f>'Main calculation'!C48</f>
        <v>2018</v>
      </c>
      <c r="C11" s="93"/>
      <c r="D11" s="344">
        <f>'Main calculation'!B38</f>
        <v>300</v>
      </c>
      <c r="E11" s="111"/>
      <c r="F11" s="109"/>
      <c r="G11" s="92">
        <f>'Main calculation'!C48</f>
        <v>2018</v>
      </c>
      <c r="H11" s="94"/>
      <c r="I11" s="92">
        <f>'Main calculation'!B38</f>
        <v>300</v>
      </c>
      <c r="J11" s="299"/>
    </row>
    <row r="12" spans="1:10" ht="15">
      <c r="A12" s="256">
        <f>IF('Main calculation'!$B$36=2019,"Starting year --&gt;","")</f>
      </c>
      <c r="B12" s="92">
        <f>'Main calculation'!C49</f>
        <v>2019</v>
      </c>
      <c r="C12" s="93"/>
      <c r="D12" s="344">
        <f>'Main calculation'!B38</f>
        <v>300</v>
      </c>
      <c r="E12" s="111"/>
      <c r="F12" s="109"/>
      <c r="G12" s="92">
        <f>'Main calculation'!C49</f>
        <v>2019</v>
      </c>
      <c r="H12" s="94"/>
      <c r="I12" s="92">
        <f>'Main calculation'!B38</f>
        <v>300</v>
      </c>
      <c r="J12" s="299"/>
    </row>
    <row r="13" spans="1:10" ht="15">
      <c r="A13" s="256">
        <f>IF('Main calculation'!$B$36=2020,"Starting year --&gt;","")</f>
      </c>
      <c r="B13" s="92">
        <f>'Main calculation'!C50</f>
        <v>2020</v>
      </c>
      <c r="C13" s="93"/>
      <c r="D13" s="344">
        <f>'Main calculation'!B38</f>
        <v>300</v>
      </c>
      <c r="E13" s="111"/>
      <c r="F13" s="109"/>
      <c r="G13" s="92">
        <f>'Main calculation'!C50</f>
        <v>2020</v>
      </c>
      <c r="H13" s="94"/>
      <c r="I13" s="92">
        <f>'Main calculation'!B38</f>
        <v>300</v>
      </c>
      <c r="J13" s="299"/>
    </row>
    <row r="14" spans="1:10" ht="15">
      <c r="A14" s="256">
        <f>IF('Main calculation'!$B$36=2021,"Starting year --&gt;","")</f>
      </c>
      <c r="B14" s="92">
        <f>'Main calculation'!C51</f>
        <v>2021</v>
      </c>
      <c r="C14" s="93"/>
      <c r="D14" s="344">
        <f>'Main calculation'!B38</f>
        <v>300</v>
      </c>
      <c r="E14" s="111"/>
      <c r="F14" s="109"/>
      <c r="G14" s="92">
        <f>'Main calculation'!C51</f>
        <v>2021</v>
      </c>
      <c r="H14" s="94"/>
      <c r="I14" s="92">
        <f>'Main calculation'!B38</f>
        <v>300</v>
      </c>
      <c r="J14" s="299"/>
    </row>
    <row r="15" spans="1:10" ht="15">
      <c r="A15" s="256">
        <f>IF('Main calculation'!$B$36=2022,"Starting year --&gt;","")</f>
      </c>
      <c r="B15" s="92">
        <f>'Main calculation'!C52</f>
        <v>2022</v>
      </c>
      <c r="C15" s="93"/>
      <c r="D15" s="344">
        <f>'Main calculation'!B38</f>
        <v>300</v>
      </c>
      <c r="E15" s="111"/>
      <c r="F15" s="109"/>
      <c r="G15" s="92">
        <f>'Main calculation'!C52</f>
        <v>2022</v>
      </c>
      <c r="H15" s="94"/>
      <c r="I15" s="92">
        <f>'Main calculation'!B38</f>
        <v>300</v>
      </c>
      <c r="J15" s="299"/>
    </row>
    <row r="16" spans="1:10" ht="15">
      <c r="A16" s="256">
        <f>IF('Main calculation'!$B$36=2023,"Starting year --&gt;","")</f>
      </c>
      <c r="B16" s="92">
        <f>'Main calculation'!C53</f>
        <v>2023</v>
      </c>
      <c r="C16" s="93"/>
      <c r="D16" s="344">
        <f>'Main calculation'!B38</f>
        <v>300</v>
      </c>
      <c r="E16" s="111"/>
      <c r="F16" s="109"/>
      <c r="G16" s="92">
        <f>'Main calculation'!C53</f>
        <v>2023</v>
      </c>
      <c r="H16" s="94"/>
      <c r="I16" s="92">
        <f>'Main calculation'!B38</f>
        <v>300</v>
      </c>
      <c r="J16" s="299"/>
    </row>
    <row r="17" spans="1:10" ht="15">
      <c r="A17" s="256">
        <f>IF('Main calculation'!$B$36=2024,"Starting year --&gt;","")</f>
      </c>
      <c r="B17" s="92">
        <f>'Main calculation'!C54</f>
        <v>2024</v>
      </c>
      <c r="C17" s="93"/>
      <c r="D17" s="344">
        <f>'Main calculation'!B38</f>
        <v>300</v>
      </c>
      <c r="E17" s="111"/>
      <c r="F17" s="109"/>
      <c r="G17" s="92">
        <f>'Main calculation'!C54</f>
        <v>2024</v>
      </c>
      <c r="H17" s="94"/>
      <c r="I17" s="92">
        <f>'Main calculation'!B38</f>
        <v>300</v>
      </c>
      <c r="J17" s="299"/>
    </row>
    <row r="18" spans="1:10" ht="15">
      <c r="A18" s="256">
        <f>IF('Main calculation'!$B$36=2025,"Starting year --&gt;","")</f>
      </c>
      <c r="B18" s="92">
        <f>'Main calculation'!C55</f>
        <v>2025</v>
      </c>
      <c r="C18" s="93"/>
      <c r="D18" s="344">
        <f>'Main calculation'!B38</f>
        <v>300</v>
      </c>
      <c r="E18" s="111"/>
      <c r="F18" s="109"/>
      <c r="G18" s="92">
        <f>'Main calculation'!C55</f>
        <v>2025</v>
      </c>
      <c r="H18" s="94"/>
      <c r="I18" s="92">
        <f>'Main calculation'!B38</f>
        <v>300</v>
      </c>
      <c r="J18" s="299"/>
    </row>
    <row r="19" spans="1:10" ht="15">
      <c r="A19" s="256">
        <f>IF('Main calculation'!$B$36=2026,"Starting year --&gt;","")</f>
      </c>
      <c r="B19" s="92">
        <f>'Main calculation'!C56</f>
        <v>2026</v>
      </c>
      <c r="C19" s="93"/>
      <c r="D19" s="344">
        <f>'Main calculation'!B38</f>
        <v>300</v>
      </c>
      <c r="E19" s="111"/>
      <c r="F19" s="109"/>
      <c r="G19" s="92">
        <f>'Main calculation'!C56</f>
        <v>2026</v>
      </c>
      <c r="H19" s="94"/>
      <c r="I19" s="92">
        <f>'Main calculation'!B38</f>
        <v>300</v>
      </c>
      <c r="J19" s="299"/>
    </row>
    <row r="20" spans="1:10" ht="15">
      <c r="A20" s="256">
        <f>IF('Main calculation'!$B$36=2027,"Starting year --&gt;","")</f>
      </c>
      <c r="B20" s="92">
        <f>'Main calculation'!C57</f>
        <v>2027</v>
      </c>
      <c r="C20" s="93"/>
      <c r="D20" s="344">
        <f>'Main calculation'!B38</f>
        <v>300</v>
      </c>
      <c r="E20" s="111"/>
      <c r="F20" s="109"/>
      <c r="G20" s="92">
        <f>'Main calculation'!C57</f>
        <v>2027</v>
      </c>
      <c r="H20" s="94"/>
      <c r="I20" s="92">
        <f>'Main calculation'!B38</f>
        <v>300</v>
      </c>
      <c r="J20" s="299"/>
    </row>
    <row r="21" spans="1:10" ht="15">
      <c r="A21" s="256" t="str">
        <f>IF('Main calculation'!$B$37=2028,"Finishing year --&gt;","")</f>
        <v>Finishing year --&gt;</v>
      </c>
      <c r="B21" s="92">
        <f>'Main calculation'!C58</f>
        <v>2028</v>
      </c>
      <c r="C21" s="93"/>
      <c r="D21" s="344">
        <f>'Main calculation'!B38</f>
        <v>300</v>
      </c>
      <c r="E21" s="111"/>
      <c r="F21" s="109"/>
      <c r="G21" s="92">
        <f>'Main calculation'!C58</f>
        <v>2028</v>
      </c>
      <c r="H21" s="94"/>
      <c r="I21" s="92">
        <f>'Main calculation'!B38</f>
        <v>300</v>
      </c>
      <c r="J21" s="299"/>
    </row>
    <row r="22" spans="1:10" ht="15">
      <c r="A22" s="256">
        <f>IF('Main calculation'!$B$37=2029,"Finishing year --&gt;","")</f>
      </c>
      <c r="B22" s="92">
        <f>'Main calculation'!C59</f>
        <v>2029</v>
      </c>
      <c r="C22" s="93"/>
      <c r="D22" s="344">
        <f>'Main calculation'!B38</f>
        <v>300</v>
      </c>
      <c r="E22" s="111"/>
      <c r="F22" s="109"/>
      <c r="G22" s="92">
        <f>'Main calculation'!C59</f>
        <v>2029</v>
      </c>
      <c r="H22" s="94"/>
      <c r="I22" s="92">
        <f>'Main calculation'!B38</f>
        <v>300</v>
      </c>
      <c r="J22" s="299"/>
    </row>
    <row r="23" spans="1:10" ht="15">
      <c r="A23" s="256">
        <f>IF('Main calculation'!$B$37=2030,"Finishing year --&gt;","")</f>
      </c>
      <c r="B23" s="92">
        <f>'Main calculation'!C60</f>
        <v>2030</v>
      </c>
      <c r="C23" s="93"/>
      <c r="D23" s="344">
        <f>'Main calculation'!B38</f>
        <v>300</v>
      </c>
      <c r="E23" s="111"/>
      <c r="F23" s="109"/>
      <c r="G23" s="92">
        <f>'Main calculation'!C60</f>
        <v>2030</v>
      </c>
      <c r="H23" s="94"/>
      <c r="I23" s="92">
        <f>'Main calculation'!B38</f>
        <v>300</v>
      </c>
      <c r="J23" s="299"/>
    </row>
    <row r="24" ht="15">
      <c r="A24" s="256">
        <f>IF('Main calculation'!$B$37=2031,"Finishing year --&gt;","")</f>
      </c>
    </row>
    <row r="25" ht="15">
      <c r="A25" s="256">
        <f>IF('Main calculation'!$B$37=2032,"Finishing year --&gt;","")</f>
      </c>
    </row>
    <row r="26" ht="15">
      <c r="A26" s="256">
        <f>IF('Main calculation'!$B$37=2033,"Finishing year --&gt;","")</f>
      </c>
    </row>
  </sheetData>
  <sheetProtection/>
  <mergeCells count="1">
    <mergeCell ref="A2:F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9"/>
  <sheetViews>
    <sheetView zoomScalePageLayoutView="0" workbookViewId="0" topLeftCell="A9">
      <selection activeCell="A9" sqref="A9:A29"/>
    </sheetView>
  </sheetViews>
  <sheetFormatPr defaultColWidth="9.140625" defaultRowHeight="15"/>
  <cols>
    <col min="2" max="2" width="13.7109375" style="0" customWidth="1"/>
    <col min="3" max="3" width="13.140625" style="0" customWidth="1"/>
    <col min="4" max="4" width="4.28125" style="0" customWidth="1"/>
    <col min="6" max="6" width="13.8515625" style="0" customWidth="1"/>
    <col min="7" max="7" width="12.8515625" style="0" customWidth="1"/>
  </cols>
  <sheetData>
    <row r="1" ht="15">
      <c r="A1" s="162" t="s">
        <v>113</v>
      </c>
    </row>
    <row r="2" ht="15">
      <c r="A2" t="s">
        <v>183</v>
      </c>
    </row>
    <row r="3" ht="15">
      <c r="A3" t="s">
        <v>184</v>
      </c>
    </row>
    <row r="4" ht="15">
      <c r="A4" t="s">
        <v>185</v>
      </c>
    </row>
    <row r="7" spans="2:9" ht="18.75">
      <c r="B7" s="306" t="s">
        <v>1</v>
      </c>
      <c r="C7" s="307"/>
      <c r="D7" s="307"/>
      <c r="E7" s="109"/>
      <c r="F7" s="308" t="s">
        <v>2</v>
      </c>
      <c r="G7" s="308"/>
      <c r="H7" s="309"/>
      <c r="I7" s="5"/>
    </row>
    <row r="8" spans="2:9" ht="300">
      <c r="B8" s="312" t="s">
        <v>0</v>
      </c>
      <c r="C8" s="223" t="s">
        <v>120</v>
      </c>
      <c r="D8" s="223" t="s">
        <v>86</v>
      </c>
      <c r="E8" s="174"/>
      <c r="F8" s="312" t="s">
        <v>0</v>
      </c>
      <c r="G8" s="223" t="s">
        <v>120</v>
      </c>
      <c r="H8" s="223" t="s">
        <v>86</v>
      </c>
      <c r="I8" s="5"/>
    </row>
    <row r="9" spans="1:9" ht="15">
      <c r="A9" s="256">
        <f>IF('Main calculation'!$B$36=2013,"Starting year --&gt;","")</f>
      </c>
      <c r="B9" s="5">
        <f>'Main calculation'!C45</f>
        <v>2015</v>
      </c>
      <c r="C9" s="305"/>
      <c r="D9" s="305"/>
      <c r="E9" s="112"/>
      <c r="F9" s="5">
        <f>'Main calculation'!C45</f>
        <v>2015</v>
      </c>
      <c r="G9" s="310"/>
      <c r="H9" s="305"/>
      <c r="I9" s="5"/>
    </row>
    <row r="10" spans="1:9" ht="15">
      <c r="A10" s="256" t="str">
        <f>IF('Main calculation'!$B$36=2014,"Starting year --&gt;","")</f>
        <v>Starting year --&gt;</v>
      </c>
      <c r="B10" s="5">
        <f>'Main calculation'!C46</f>
        <v>2016</v>
      </c>
      <c r="C10" s="305"/>
      <c r="D10" s="305"/>
      <c r="E10" s="112"/>
      <c r="F10" s="5">
        <f>'Main calculation'!C46</f>
        <v>2016</v>
      </c>
      <c r="G10" s="310"/>
      <c r="H10" s="305"/>
      <c r="I10" s="5"/>
    </row>
    <row r="11" spans="1:9" ht="15">
      <c r="A11" s="256">
        <f>IF('Main calculation'!$B$36=2015,"Starting year --&gt;","")</f>
      </c>
      <c r="B11" s="5">
        <f>'Main calculation'!C47</f>
        <v>2017</v>
      </c>
      <c r="C11" s="305"/>
      <c r="D11" s="305"/>
      <c r="E11" s="112"/>
      <c r="F11" s="5">
        <f>'Main calculation'!C47</f>
        <v>2017</v>
      </c>
      <c r="G11" s="310"/>
      <c r="H11" s="305"/>
      <c r="I11" s="5"/>
    </row>
    <row r="12" spans="1:9" ht="15">
      <c r="A12" s="256">
        <f>IF('Main calculation'!$B$36=2016,"Starting year --&gt;","")</f>
      </c>
      <c r="B12" s="5">
        <f>'Main calculation'!C48</f>
        <v>2018</v>
      </c>
      <c r="C12" s="305"/>
      <c r="D12" s="305"/>
      <c r="E12" s="112"/>
      <c r="F12" s="5">
        <f>'Main calculation'!C48</f>
        <v>2018</v>
      </c>
      <c r="G12" s="310"/>
      <c r="H12" s="305"/>
      <c r="I12" s="5"/>
    </row>
    <row r="13" spans="1:9" ht="15">
      <c r="A13" s="256">
        <f>IF('Main calculation'!$B$36=2017,"Starting year --&gt;","")</f>
      </c>
      <c r="B13" s="5">
        <f>'Main calculation'!C49</f>
        <v>2019</v>
      </c>
      <c r="C13" s="305"/>
      <c r="D13" s="305"/>
      <c r="E13" s="112"/>
      <c r="F13" s="5">
        <f>'Main calculation'!C49</f>
        <v>2019</v>
      </c>
      <c r="G13" s="310"/>
      <c r="H13" s="305"/>
      <c r="I13" s="5"/>
    </row>
    <row r="14" spans="1:9" ht="15">
      <c r="A14" s="256">
        <f>IF('Main calculation'!$B$36=2018,"Starting year --&gt;","")</f>
      </c>
      <c r="B14" s="5">
        <f>'Main calculation'!C50</f>
        <v>2020</v>
      </c>
      <c r="C14" s="305"/>
      <c r="D14" s="305"/>
      <c r="E14" s="112"/>
      <c r="F14" s="5">
        <f>'Main calculation'!C50</f>
        <v>2020</v>
      </c>
      <c r="G14" s="310"/>
      <c r="H14" s="305"/>
      <c r="I14" s="5"/>
    </row>
    <row r="15" spans="1:9" ht="15">
      <c r="A15" s="256">
        <f>IF('Main calculation'!$B$36=2019,"Starting year --&gt;","")</f>
      </c>
      <c r="B15" s="5">
        <f>'Main calculation'!C51</f>
        <v>2021</v>
      </c>
      <c r="C15" s="305"/>
      <c r="D15" s="305"/>
      <c r="E15" s="112"/>
      <c r="F15" s="5">
        <f>'Main calculation'!C51</f>
        <v>2021</v>
      </c>
      <c r="G15" s="310"/>
      <c r="H15" s="305"/>
      <c r="I15" s="5"/>
    </row>
    <row r="16" spans="1:9" ht="15">
      <c r="A16" s="256">
        <f>IF('Main calculation'!$B$36=2020,"Starting year --&gt;","")</f>
      </c>
      <c r="B16" s="5">
        <f>'Main calculation'!C52</f>
        <v>2022</v>
      </c>
      <c r="C16" s="305"/>
      <c r="D16" s="305"/>
      <c r="E16" s="112"/>
      <c r="F16" s="5">
        <f>'Main calculation'!C52</f>
        <v>2022</v>
      </c>
      <c r="G16" s="310"/>
      <c r="H16" s="305"/>
      <c r="I16" s="5"/>
    </row>
    <row r="17" spans="1:9" ht="15">
      <c r="A17" s="256">
        <f>IF('Main calculation'!$B$36=2021,"Starting year --&gt;","")</f>
      </c>
      <c r="B17" s="5">
        <f>'Main calculation'!C53</f>
        <v>2023</v>
      </c>
      <c r="C17" s="305"/>
      <c r="D17" s="305"/>
      <c r="E17" s="112"/>
      <c r="F17" s="5">
        <f>'Main calculation'!C53</f>
        <v>2023</v>
      </c>
      <c r="G17" s="310"/>
      <c r="H17" s="305"/>
      <c r="I17" s="5"/>
    </row>
    <row r="18" spans="1:9" ht="15">
      <c r="A18" s="256">
        <f>IF('Main calculation'!$B$36=2022,"Starting year --&gt;","")</f>
      </c>
      <c r="B18" s="5">
        <f>'Main calculation'!C54</f>
        <v>2024</v>
      </c>
      <c r="C18" s="305"/>
      <c r="D18" s="305"/>
      <c r="E18" s="112"/>
      <c r="F18" s="5">
        <f>'Main calculation'!C54</f>
        <v>2024</v>
      </c>
      <c r="G18" s="310"/>
      <c r="H18" s="305"/>
      <c r="I18" s="5"/>
    </row>
    <row r="19" spans="1:9" ht="15">
      <c r="A19" s="256">
        <f>IF('Main calculation'!$B$36=2023,"Starting year --&gt;","")</f>
      </c>
      <c r="B19" s="5">
        <f>'Main calculation'!C55</f>
        <v>2025</v>
      </c>
      <c r="C19" s="305"/>
      <c r="D19" s="305"/>
      <c r="E19" s="112"/>
      <c r="F19" s="5">
        <f>'Main calculation'!C55</f>
        <v>2025</v>
      </c>
      <c r="G19" s="310"/>
      <c r="H19" s="305"/>
      <c r="I19" s="5"/>
    </row>
    <row r="20" spans="1:9" ht="15">
      <c r="A20" s="256">
        <f>IF('Main calculation'!$B$36=2024,"Starting year --&gt;","")</f>
      </c>
      <c r="B20" s="5">
        <f>'Main calculation'!C56</f>
        <v>2026</v>
      </c>
      <c r="C20" s="305"/>
      <c r="D20" s="305"/>
      <c r="E20" s="112"/>
      <c r="F20" s="5">
        <f>'Main calculation'!C56</f>
        <v>2026</v>
      </c>
      <c r="G20" s="310"/>
      <c r="H20" s="305"/>
      <c r="I20" s="5"/>
    </row>
    <row r="21" spans="1:9" ht="15">
      <c r="A21" s="256">
        <f>IF('Main calculation'!$B$36=2025,"Starting year --&gt;","")</f>
      </c>
      <c r="B21" s="5">
        <f>'Main calculation'!C57</f>
        <v>2027</v>
      </c>
      <c r="C21" s="305"/>
      <c r="D21" s="305"/>
      <c r="E21" s="112"/>
      <c r="F21" s="5">
        <f>'Main calculation'!C57</f>
        <v>2027</v>
      </c>
      <c r="G21" s="310"/>
      <c r="H21" s="305"/>
      <c r="I21" s="5"/>
    </row>
    <row r="22" spans="1:9" ht="15">
      <c r="A22" s="256">
        <f>IF('Main calculation'!$B$36=2026,"Starting year --&gt;","")</f>
      </c>
      <c r="B22" s="5">
        <f>'Main calculation'!C58</f>
        <v>2028</v>
      </c>
      <c r="C22" s="305"/>
      <c r="D22" s="305"/>
      <c r="E22" s="112"/>
      <c r="F22" s="5">
        <f>'Main calculation'!C58</f>
        <v>2028</v>
      </c>
      <c r="G22" s="310"/>
      <c r="H22" s="305"/>
      <c r="I22" s="5"/>
    </row>
    <row r="23" spans="1:9" ht="15">
      <c r="A23" s="256">
        <f>IF('Main calculation'!$B$36=2027,"Starting year --&gt;","")</f>
      </c>
      <c r="B23" s="5">
        <f>'Main calculation'!C59</f>
        <v>2029</v>
      </c>
      <c r="C23" s="305"/>
      <c r="D23" s="305"/>
      <c r="E23" s="112"/>
      <c r="F23" s="5">
        <f>'Main calculation'!C59</f>
        <v>2029</v>
      </c>
      <c r="G23" s="310"/>
      <c r="H23" s="305"/>
      <c r="I23" s="5"/>
    </row>
    <row r="24" spans="1:9" ht="15">
      <c r="A24" s="256" t="str">
        <f>IF('Main calculation'!$B$37=2028,"Finishing year --&gt;","")</f>
        <v>Finishing year --&gt;</v>
      </c>
      <c r="B24" s="5">
        <f>'Main calculation'!C60</f>
        <v>2030</v>
      </c>
      <c r="C24" s="305"/>
      <c r="D24" s="305"/>
      <c r="E24" s="112"/>
      <c r="F24" s="5">
        <f>'Main calculation'!C60</f>
        <v>2030</v>
      </c>
      <c r="G24" s="310"/>
      <c r="H24" s="305"/>
      <c r="I24" s="5"/>
    </row>
    <row r="25" ht="15">
      <c r="A25" s="256">
        <f>IF('Main calculation'!$B$37=2029,"Finishing year --&gt;","")</f>
      </c>
    </row>
    <row r="26" ht="15">
      <c r="A26" s="256">
        <f>IF('Main calculation'!$B$37=2030,"Finishing year --&gt;","")</f>
      </c>
    </row>
    <row r="27" ht="15">
      <c r="A27" s="256">
        <f>IF('Main calculation'!$B$37=2031,"Finishing year --&gt;","")</f>
      </c>
    </row>
    <row r="28" ht="15">
      <c r="A28" s="256">
        <f>IF('Main calculation'!$B$37=2032,"Finishing year --&gt;","")</f>
      </c>
    </row>
    <row r="29" ht="15">
      <c r="A29" s="256">
        <f>IF('Main calculation'!$B$37=2033,"Finishing year --&gt;","")</f>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U74"/>
  <sheetViews>
    <sheetView tabSelected="1" zoomScale="85" zoomScaleNormal="85" zoomScalePageLayoutView="0" workbookViewId="0" topLeftCell="A4">
      <selection activeCell="M32" sqref="M32"/>
    </sheetView>
  </sheetViews>
  <sheetFormatPr defaultColWidth="9.140625" defaultRowHeight="15"/>
  <cols>
    <col min="1" max="1" width="12.7109375" style="0" bestFit="1" customWidth="1"/>
    <col min="2" max="2" width="27.7109375" style="0" bestFit="1" customWidth="1"/>
    <col min="3" max="3" width="11.00390625" style="0" customWidth="1"/>
    <col min="4" max="6" width="10.57421875" style="0" bestFit="1" customWidth="1"/>
    <col min="7" max="7" width="12.28125" style="0" customWidth="1"/>
    <col min="9" max="9" width="26.28125" style="0" bestFit="1" customWidth="1"/>
  </cols>
  <sheetData>
    <row r="1" spans="1:10" ht="39.75" customHeight="1">
      <c r="A1" s="425" t="s">
        <v>201</v>
      </c>
      <c r="B1" s="425"/>
      <c r="C1" s="425"/>
      <c r="D1" s="425"/>
      <c r="E1" s="425"/>
      <c r="F1" s="425"/>
      <c r="G1" s="425"/>
      <c r="H1" s="425"/>
      <c r="I1" s="425"/>
      <c r="J1" s="425"/>
    </row>
    <row r="3" spans="3:21" ht="15.75" thickBot="1">
      <c r="C3" t="s">
        <v>11</v>
      </c>
      <c r="D3" t="s">
        <v>81</v>
      </c>
      <c r="E3" t="s">
        <v>82</v>
      </c>
      <c r="F3" t="s">
        <v>83</v>
      </c>
      <c r="G3" t="s">
        <v>84</v>
      </c>
      <c r="K3" t="s">
        <v>81</v>
      </c>
      <c r="L3" t="s">
        <v>82</v>
      </c>
      <c r="M3" t="s">
        <v>83</v>
      </c>
      <c r="N3" t="s">
        <v>84</v>
      </c>
      <c r="R3" t="s">
        <v>81</v>
      </c>
      <c r="S3" t="s">
        <v>82</v>
      </c>
      <c r="T3" t="s">
        <v>83</v>
      </c>
      <c r="U3" t="s">
        <v>84</v>
      </c>
    </row>
    <row r="4" spans="1:21" ht="15">
      <c r="A4" s="5" t="s">
        <v>12</v>
      </c>
      <c r="B4" s="6"/>
      <c r="C4" s="7" t="s">
        <v>13</v>
      </c>
      <c r="D4" s="8"/>
      <c r="E4" s="8"/>
      <c r="F4" s="8"/>
      <c r="G4" s="9"/>
      <c r="I4" s="6"/>
      <c r="J4" s="137" t="s">
        <v>117</v>
      </c>
      <c r="K4" s="138" t="s">
        <v>15</v>
      </c>
      <c r="L4" s="138" t="s">
        <v>16</v>
      </c>
      <c r="M4" s="138" t="s">
        <v>17</v>
      </c>
      <c r="N4" s="139" t="s">
        <v>18</v>
      </c>
      <c r="P4" s="6"/>
      <c r="Q4" s="137" t="s">
        <v>117</v>
      </c>
      <c r="R4" s="138" t="s">
        <v>15</v>
      </c>
      <c r="S4" s="138" t="s">
        <v>16</v>
      </c>
      <c r="T4" s="138" t="s">
        <v>17</v>
      </c>
      <c r="U4" s="139" t="s">
        <v>18</v>
      </c>
    </row>
    <row r="5" spans="1:21" ht="15.75" thickBot="1">
      <c r="A5" s="10">
        <v>0.03</v>
      </c>
      <c r="B5" s="11"/>
      <c r="C5" s="12" t="s">
        <v>14</v>
      </c>
      <c r="D5" s="12" t="s">
        <v>15</v>
      </c>
      <c r="E5" s="12" t="s">
        <v>16</v>
      </c>
      <c r="F5" s="12" t="s">
        <v>17</v>
      </c>
      <c r="G5" s="13" t="s">
        <v>18</v>
      </c>
      <c r="I5" s="144" t="s">
        <v>116</v>
      </c>
      <c r="J5" s="136">
        <v>110</v>
      </c>
      <c r="K5" s="136">
        <v>122</v>
      </c>
      <c r="L5" s="136">
        <v>97</v>
      </c>
      <c r="M5" s="136">
        <v>66</v>
      </c>
      <c r="N5" s="145">
        <v>61</v>
      </c>
      <c r="O5" s="135"/>
      <c r="P5" s="144" t="s">
        <v>116</v>
      </c>
      <c r="Q5" s="136">
        <v>149</v>
      </c>
      <c r="R5" s="136">
        <v>122</v>
      </c>
      <c r="S5" s="136">
        <v>97</v>
      </c>
      <c r="T5" s="136">
        <v>66</v>
      </c>
      <c r="U5" s="145">
        <v>61</v>
      </c>
    </row>
    <row r="6" spans="2:21" ht="15.75" thickTop="1">
      <c r="B6" s="14" t="s">
        <v>19</v>
      </c>
      <c r="C6" s="15">
        <v>1</v>
      </c>
      <c r="D6" s="16">
        <v>0.116801962273</v>
      </c>
      <c r="E6" s="16">
        <v>0.116801962273</v>
      </c>
      <c r="F6" s="16">
        <v>0.47665712784</v>
      </c>
      <c r="G6" s="17">
        <v>0.881854815161</v>
      </c>
      <c r="H6" s="18" t="s">
        <v>20</v>
      </c>
      <c r="I6" s="19" t="s">
        <v>19</v>
      </c>
      <c r="J6" s="134">
        <v>1</v>
      </c>
      <c r="K6" s="133">
        <v>1.19047619048</v>
      </c>
      <c r="L6" s="133">
        <v>1.19047619048</v>
      </c>
      <c r="M6" s="133">
        <v>5.03333333333</v>
      </c>
      <c r="N6" s="146">
        <v>9.06583333333</v>
      </c>
      <c r="O6" s="135"/>
      <c r="P6" s="19" t="s">
        <v>19</v>
      </c>
      <c r="Q6" s="134">
        <v>1</v>
      </c>
      <c r="R6" s="133">
        <v>1.19047619048</v>
      </c>
      <c r="S6" s="133">
        <v>1.19047619048</v>
      </c>
      <c r="T6" s="133">
        <v>5.03333333333</v>
      </c>
      <c r="U6" s="146">
        <v>9.06583333333</v>
      </c>
    </row>
    <row r="7" spans="2:21" ht="15">
      <c r="B7" s="19" t="s">
        <v>21</v>
      </c>
      <c r="C7" s="20">
        <v>1</v>
      </c>
      <c r="D7" s="21">
        <v>0.952755905511811</v>
      </c>
      <c r="E7" s="21">
        <v>0.7716535433070866</v>
      </c>
      <c r="F7" s="21">
        <v>0.5039370078740157</v>
      </c>
      <c r="G7" s="22">
        <v>0.48031496062992124</v>
      </c>
      <c r="H7" s="18" t="s">
        <v>22</v>
      </c>
      <c r="I7" s="19" t="s">
        <v>21</v>
      </c>
      <c r="J7" s="132">
        <v>1</v>
      </c>
      <c r="K7" s="123">
        <f>K5/$J$5</f>
        <v>1.1090909090909091</v>
      </c>
      <c r="L7" s="123">
        <f>L5/$J$5</f>
        <v>0.8818181818181818</v>
      </c>
      <c r="M7" s="123">
        <f>M5/$J$5</f>
        <v>0.6</v>
      </c>
      <c r="N7" s="147">
        <f>N5/$J$5</f>
        <v>0.5545454545454546</v>
      </c>
      <c r="O7" s="135"/>
      <c r="P7" s="19" t="s">
        <v>21</v>
      </c>
      <c r="Q7" s="132">
        <v>1</v>
      </c>
      <c r="R7" s="123">
        <f>R5/$Q$5</f>
        <v>0.8187919463087249</v>
      </c>
      <c r="S7" s="123">
        <f>S5/$Q$5</f>
        <v>0.6510067114093959</v>
      </c>
      <c r="T7" s="123">
        <f>T5/$Q$5</f>
        <v>0.4429530201342282</v>
      </c>
      <c r="U7" s="123">
        <f>U5/$Q$5</f>
        <v>0.40939597315436244</v>
      </c>
    </row>
    <row r="8" spans="1:21" ht="15.75" thickBot="1">
      <c r="A8" s="23" t="s">
        <v>23</v>
      </c>
      <c r="B8" s="24" t="s">
        <v>24</v>
      </c>
      <c r="C8" s="25">
        <v>1</v>
      </c>
      <c r="D8" s="26">
        <f>D6*D7</f>
        <v>0.11128375933096851</v>
      </c>
      <c r="E8" s="26">
        <f>E6*E7</f>
        <v>0.0901306480531811</v>
      </c>
      <c r="F8" s="26">
        <f>F6*F7</f>
        <v>0.2402051667855118</v>
      </c>
      <c r="G8" s="27">
        <f>G6*G7</f>
        <v>0.42356806082536214</v>
      </c>
      <c r="I8" s="24" t="s">
        <v>24</v>
      </c>
      <c r="J8" s="148">
        <v>1</v>
      </c>
      <c r="K8" s="148">
        <f>K7*K6</f>
        <v>1.3203463203505457</v>
      </c>
      <c r="L8" s="148">
        <f>L7*L6</f>
        <v>1.0497835497869092</v>
      </c>
      <c r="M8" s="148">
        <f>M7*M6</f>
        <v>3.019999999998</v>
      </c>
      <c r="N8" s="149">
        <f>N7*N6</f>
        <v>5.027416666664818</v>
      </c>
      <c r="O8" s="135"/>
      <c r="P8" s="24" t="s">
        <v>24</v>
      </c>
      <c r="Q8" s="148">
        <v>1</v>
      </c>
      <c r="R8" s="148">
        <f>R7*R6</f>
        <v>0.9747523170373156</v>
      </c>
      <c r="S8" s="148">
        <f>S7*S6</f>
        <v>0.7750079897755705</v>
      </c>
      <c r="T8" s="148">
        <f>T7*T6</f>
        <v>2.2295302013408054</v>
      </c>
      <c r="U8" s="149">
        <f>U7*U6</f>
        <v>3.7115156599538928</v>
      </c>
    </row>
    <row r="9" ht="15.75" thickBot="1"/>
    <row r="10" spans="1:15" ht="15.75" thickBot="1">
      <c r="A10" s="28" t="s">
        <v>25</v>
      </c>
      <c r="B10" s="29" t="s">
        <v>26</v>
      </c>
      <c r="C10" s="30" t="s">
        <v>27</v>
      </c>
      <c r="I10" s="193" t="s">
        <v>118</v>
      </c>
      <c r="J10" s="194" t="s">
        <v>117</v>
      </c>
      <c r="K10" s="204" t="s">
        <v>15</v>
      </c>
      <c r="L10" s="204" t="s">
        <v>16</v>
      </c>
      <c r="M10" s="204" t="s">
        <v>17</v>
      </c>
      <c r="N10" s="205" t="s">
        <v>18</v>
      </c>
      <c r="O10" t="s">
        <v>104</v>
      </c>
    </row>
    <row r="11" spans="1:15" ht="15.75" thickTop="1">
      <c r="A11" s="31"/>
      <c r="B11" s="32" t="s">
        <v>28</v>
      </c>
      <c r="C11" s="33">
        <v>10</v>
      </c>
      <c r="I11" s="21" t="s">
        <v>119</v>
      </c>
      <c r="J11" s="195">
        <v>69000</v>
      </c>
      <c r="K11" s="196">
        <f>$J11*K$8</f>
        <v>91103.89610418765</v>
      </c>
      <c r="L11" s="196">
        <f>$J11*L8</f>
        <v>72435.06493529674</v>
      </c>
      <c r="M11" s="196">
        <f>$J11*M8</f>
        <v>208379.999999862</v>
      </c>
      <c r="N11" s="196">
        <f>$J11*N8</f>
        <v>346891.74999987247</v>
      </c>
      <c r="O11" t="s">
        <v>133</v>
      </c>
    </row>
    <row r="12" spans="1:16" ht="15">
      <c r="A12" s="31"/>
      <c r="B12" s="21" t="s">
        <v>29</v>
      </c>
      <c r="C12" s="34">
        <v>15</v>
      </c>
      <c r="I12" s="197" t="s">
        <v>149</v>
      </c>
      <c r="J12" s="121">
        <v>0.038</v>
      </c>
      <c r="K12" s="198">
        <f>$J12*K$8</f>
        <v>0.050173160173320734</v>
      </c>
      <c r="L12" s="198">
        <f aca="true" t="shared" si="0" ref="L12:N14">$J12*L$8</f>
        <v>0.03989177489190255</v>
      </c>
      <c r="M12" s="198">
        <f t="shared" si="0"/>
        <v>0.11475999999992399</v>
      </c>
      <c r="N12" s="198">
        <f t="shared" si="0"/>
        <v>0.19104183333326308</v>
      </c>
      <c r="O12" s="18" t="s">
        <v>140</v>
      </c>
      <c r="P12" t="s">
        <v>146</v>
      </c>
    </row>
    <row r="13" spans="1:16" ht="15">
      <c r="A13" s="31"/>
      <c r="B13" s="21" t="s">
        <v>30</v>
      </c>
      <c r="C13" s="34">
        <v>20</v>
      </c>
      <c r="I13" s="199" t="s">
        <v>150</v>
      </c>
      <c r="J13" s="121">
        <v>0.004</v>
      </c>
      <c r="K13" s="198">
        <f>$J13*K$8</f>
        <v>0.005281385281402182</v>
      </c>
      <c r="L13" s="198">
        <f t="shared" si="0"/>
        <v>0.004199134199147637</v>
      </c>
      <c r="M13" s="198">
        <f t="shared" si="0"/>
        <v>0.012079999999992</v>
      </c>
      <c r="N13" s="198">
        <f t="shared" si="0"/>
        <v>0.02010966666665927</v>
      </c>
      <c r="O13" s="18" t="s">
        <v>151</v>
      </c>
      <c r="P13" t="s">
        <v>152</v>
      </c>
    </row>
    <row r="14" spans="1:16" ht="15.75" thickBot="1">
      <c r="A14" s="35"/>
      <c r="B14" s="26" t="s">
        <v>31</v>
      </c>
      <c r="C14" s="36">
        <v>40</v>
      </c>
      <c r="I14" s="197" t="s">
        <v>162</v>
      </c>
      <c r="J14" s="121">
        <v>0.265</v>
      </c>
      <c r="K14" s="198">
        <f>$J14*K$8</f>
        <v>0.34989177489289464</v>
      </c>
      <c r="L14" s="198">
        <f t="shared" si="0"/>
        <v>0.27819264069353095</v>
      </c>
      <c r="M14" s="198">
        <f t="shared" si="0"/>
        <v>0.80029999999947</v>
      </c>
      <c r="N14" s="198">
        <f t="shared" si="0"/>
        <v>1.332265416666177</v>
      </c>
      <c r="O14" s="18" t="s">
        <v>163</v>
      </c>
      <c r="P14" t="s">
        <v>164</v>
      </c>
    </row>
    <row r="15" spans="3:14" ht="15.75" thickBot="1">
      <c r="C15" s="4"/>
      <c r="I15" s="200"/>
      <c r="J15" s="206" t="s">
        <v>117</v>
      </c>
      <c r="K15" s="203" t="s">
        <v>15</v>
      </c>
      <c r="L15" s="203" t="s">
        <v>16</v>
      </c>
      <c r="M15" s="203" t="s">
        <v>17</v>
      </c>
      <c r="N15" s="203" t="s">
        <v>18</v>
      </c>
    </row>
    <row r="16" spans="1:16" ht="15.75" thickBot="1">
      <c r="A16" s="28" t="s">
        <v>32</v>
      </c>
      <c r="B16" s="29" t="s">
        <v>26</v>
      </c>
      <c r="C16" s="37" t="s">
        <v>33</v>
      </c>
      <c r="D16" s="38" t="s">
        <v>34</v>
      </c>
      <c r="E16" s="38" t="s">
        <v>35</v>
      </c>
      <c r="F16" s="38" t="s">
        <v>36</v>
      </c>
      <c r="G16" s="39" t="s">
        <v>37</v>
      </c>
      <c r="I16" s="201" t="s">
        <v>167</v>
      </c>
      <c r="J16" s="207">
        <f>0.129/1.61</f>
        <v>0.08012422360248447</v>
      </c>
      <c r="K16" s="202">
        <f>J16*R8</f>
        <v>0.07810127260733771</v>
      </c>
      <c r="L16" s="202">
        <f>K16*S8</f>
        <v>0.060529110282326624</v>
      </c>
      <c r="M16" s="202">
        <f>L16*T8</f>
        <v>0.13495147943473548</v>
      </c>
      <c r="N16" s="202">
        <f>M16*U8</f>
        <v>0.5008745292559664</v>
      </c>
      <c r="O16" s="18" t="s">
        <v>168</v>
      </c>
      <c r="P16" t="s">
        <v>169</v>
      </c>
    </row>
    <row r="17" spans="1:7" ht="15.75" thickTop="1">
      <c r="A17" s="31"/>
      <c r="B17" s="32" t="s">
        <v>38</v>
      </c>
      <c r="C17" s="40">
        <v>108</v>
      </c>
      <c r="D17" s="41">
        <f>$C17*D$8</f>
        <v>12.0186460077446</v>
      </c>
      <c r="E17" s="41">
        <f>$C17*E$8</f>
        <v>9.73410998974356</v>
      </c>
      <c r="F17" s="41">
        <f>$C17*F$8</f>
        <v>25.942158012835275</v>
      </c>
      <c r="G17" s="42">
        <f>$C17*G$8</f>
        <v>45.74535056913911</v>
      </c>
    </row>
    <row r="18" spans="1:14" ht="15">
      <c r="A18" s="31"/>
      <c r="B18" s="21" t="s">
        <v>39</v>
      </c>
      <c r="C18" s="43">
        <v>40</v>
      </c>
      <c r="D18" s="41">
        <f aca="true" t="shared" si="1" ref="D18:G24">$C18*D$8</f>
        <v>4.451350373238741</v>
      </c>
      <c r="E18" s="41">
        <f t="shared" si="1"/>
        <v>3.6052259221272442</v>
      </c>
      <c r="F18" s="41">
        <f t="shared" si="1"/>
        <v>9.608206671420472</v>
      </c>
      <c r="G18" s="42">
        <f t="shared" si="1"/>
        <v>16.942722433014485</v>
      </c>
      <c r="I18" s="268"/>
      <c r="J18" s="269" t="s">
        <v>198</v>
      </c>
      <c r="K18" s="269" t="s">
        <v>196</v>
      </c>
      <c r="L18" s="269" t="s">
        <v>197</v>
      </c>
      <c r="M18" s="269"/>
      <c r="N18" s="270"/>
    </row>
    <row r="19" spans="1:14" ht="15">
      <c r="A19" s="31"/>
      <c r="B19" s="21" t="s">
        <v>40</v>
      </c>
      <c r="C19" s="43">
        <v>20</v>
      </c>
      <c r="D19" s="41">
        <f t="shared" si="1"/>
        <v>2.2256751866193705</v>
      </c>
      <c r="E19" s="41">
        <f t="shared" si="1"/>
        <v>1.8026129610636221</v>
      </c>
      <c r="F19" s="41">
        <f t="shared" si="1"/>
        <v>4.804103335710236</v>
      </c>
      <c r="G19" s="42">
        <f t="shared" si="1"/>
        <v>8.471361216507242</v>
      </c>
      <c r="I19" s="271" t="s">
        <v>88</v>
      </c>
      <c r="J19" s="272">
        <v>176</v>
      </c>
      <c r="K19" s="273">
        <f>L19/L$23</f>
        <v>0.015228426395939087</v>
      </c>
      <c r="L19" s="274">
        <v>1.2</v>
      </c>
      <c r="M19" s="274"/>
      <c r="N19" s="275"/>
    </row>
    <row r="20" spans="1:14" ht="15">
      <c r="A20" s="31"/>
      <c r="B20" s="21" t="s">
        <v>41</v>
      </c>
      <c r="C20" s="43">
        <v>80</v>
      </c>
      <c r="D20" s="41">
        <f t="shared" si="1"/>
        <v>8.902700746477482</v>
      </c>
      <c r="E20" s="41">
        <f t="shared" si="1"/>
        <v>7.2104518442544885</v>
      </c>
      <c r="F20" s="41">
        <f t="shared" si="1"/>
        <v>19.216413342840944</v>
      </c>
      <c r="G20" s="42">
        <f t="shared" si="1"/>
        <v>33.88544486602897</v>
      </c>
      <c r="I20" s="271" t="s">
        <v>186</v>
      </c>
      <c r="J20" s="272">
        <v>27</v>
      </c>
      <c r="K20" s="273">
        <f>L20/L$23</f>
        <v>0.8299492385786803</v>
      </c>
      <c r="L20" s="274">
        <v>65.4</v>
      </c>
      <c r="M20" s="274"/>
      <c r="N20" s="275"/>
    </row>
    <row r="21" spans="1:14" ht="15">
      <c r="A21" s="31"/>
      <c r="B21" s="21" t="s">
        <v>42</v>
      </c>
      <c r="C21" s="43">
        <v>150</v>
      </c>
      <c r="D21" s="41">
        <f t="shared" si="1"/>
        <v>16.692563899645275</v>
      </c>
      <c r="E21" s="41">
        <f t="shared" si="1"/>
        <v>13.519597207977165</v>
      </c>
      <c r="F21" s="41">
        <f t="shared" si="1"/>
        <v>36.03077501782677</v>
      </c>
      <c r="G21" s="42">
        <f t="shared" si="1"/>
        <v>63.53520912380432</v>
      </c>
      <c r="I21" s="271" t="s">
        <v>187</v>
      </c>
      <c r="J21" s="272">
        <f>J28</f>
        <v>65.27083333333333</v>
      </c>
      <c r="K21" s="273">
        <f>L21/L$23</f>
        <v>0.1218274111675127</v>
      </c>
      <c r="L21" s="274">
        <v>9.6</v>
      </c>
      <c r="M21" s="274"/>
      <c r="N21" s="275"/>
    </row>
    <row r="22" spans="1:14" ht="15">
      <c r="A22" s="31"/>
      <c r="B22" s="21" t="s">
        <v>43</v>
      </c>
      <c r="C22" s="43">
        <v>120</v>
      </c>
      <c r="D22" s="41">
        <f t="shared" si="1"/>
        <v>13.354051119716221</v>
      </c>
      <c r="E22" s="41">
        <f t="shared" si="1"/>
        <v>10.815677766381732</v>
      </c>
      <c r="F22" s="41">
        <f t="shared" si="1"/>
        <v>28.824620014261416</v>
      </c>
      <c r="G22" s="42">
        <f>$C22*G$8</f>
        <v>50.82816729904346</v>
      </c>
      <c r="I22" s="271" t="s">
        <v>195</v>
      </c>
      <c r="J22" s="272">
        <f>K28</f>
        <v>138.71249999999998</v>
      </c>
      <c r="K22" s="273">
        <f>L22/L$23</f>
        <v>0.03299492385786802</v>
      </c>
      <c r="L22" s="274">
        <v>2.6</v>
      </c>
      <c r="M22" s="274"/>
      <c r="N22" s="275"/>
    </row>
    <row r="23" spans="1:14" ht="16.5" customHeight="1">
      <c r="A23" s="31"/>
      <c r="B23" s="21" t="s">
        <v>44</v>
      </c>
      <c r="C23" s="43">
        <v>51</v>
      </c>
      <c r="D23" s="41">
        <f t="shared" si="1"/>
        <v>5.675471725879394</v>
      </c>
      <c r="E23" s="41">
        <f t="shared" si="1"/>
        <v>4.596663050712237</v>
      </c>
      <c r="F23" s="41">
        <f t="shared" si="1"/>
        <v>12.250463506061102</v>
      </c>
      <c r="G23" s="42">
        <f t="shared" si="1"/>
        <v>21.60197110209347</v>
      </c>
      <c r="I23" s="284" t="s">
        <v>200</v>
      </c>
      <c r="J23" s="276">
        <f>J19*K19+J20*K20+J21*K21+J22*K22</f>
        <v>37.61741751269035</v>
      </c>
      <c r="K23" s="274"/>
      <c r="L23" s="274">
        <f>SUM(L19:L22)</f>
        <v>78.8</v>
      </c>
      <c r="M23" s="274"/>
      <c r="N23" s="275"/>
    </row>
    <row r="24" spans="1:14" ht="16.5" customHeight="1" thickBot="1">
      <c r="A24" s="35"/>
      <c r="B24" s="26" t="s">
        <v>45</v>
      </c>
      <c r="C24" s="44">
        <v>102</v>
      </c>
      <c r="D24" s="45">
        <f t="shared" si="1"/>
        <v>11.350943451758788</v>
      </c>
      <c r="E24" s="45">
        <f t="shared" si="1"/>
        <v>9.193326101424473</v>
      </c>
      <c r="F24" s="45">
        <f t="shared" si="1"/>
        <v>24.500927012122204</v>
      </c>
      <c r="G24" s="46">
        <f t="shared" si="1"/>
        <v>43.20394220418694</v>
      </c>
      <c r="I24" s="283" t="s">
        <v>188</v>
      </c>
      <c r="J24" s="274" t="s">
        <v>189</v>
      </c>
      <c r="K24" s="274" t="s">
        <v>190</v>
      </c>
      <c r="L24" s="274"/>
      <c r="M24" s="274"/>
      <c r="N24" s="275"/>
    </row>
    <row r="25" spans="3:14" ht="15.75" thickBot="1">
      <c r="C25" s="4"/>
      <c r="I25" s="271" t="s">
        <v>191</v>
      </c>
      <c r="J25" s="277">
        <v>300</v>
      </c>
      <c r="K25" s="277">
        <v>500</v>
      </c>
      <c r="L25" s="274"/>
      <c r="M25" s="274"/>
      <c r="N25" s="275"/>
    </row>
    <row r="26" spans="1:14" ht="15.75" thickBot="1">
      <c r="A26" s="28" t="s">
        <v>46</v>
      </c>
      <c r="B26" s="29" t="s">
        <v>26</v>
      </c>
      <c r="C26" s="47" t="s">
        <v>14</v>
      </c>
      <c r="D26" s="38" t="s">
        <v>15</v>
      </c>
      <c r="E26" s="38" t="s">
        <v>16</v>
      </c>
      <c r="F26" s="47" t="s">
        <v>17</v>
      </c>
      <c r="G26" s="30" t="s">
        <v>18</v>
      </c>
      <c r="I26" s="271" t="s">
        <v>192</v>
      </c>
      <c r="J26" s="277">
        <v>43.1</v>
      </c>
      <c r="K26" s="277">
        <v>79</v>
      </c>
      <c r="L26" s="274"/>
      <c r="M26" s="274"/>
      <c r="N26" s="275"/>
    </row>
    <row r="27" spans="1:14" ht="15.75" thickTop="1">
      <c r="A27" s="31"/>
      <c r="B27" s="32" t="s">
        <v>47</v>
      </c>
      <c r="C27" s="48">
        <v>23700000</v>
      </c>
      <c r="D27" s="49">
        <f>$C27*D$8</f>
        <v>2637425.096143954</v>
      </c>
      <c r="E27" s="49">
        <f>$C27*E$8</f>
        <v>2136096.358860392</v>
      </c>
      <c r="F27" s="49">
        <f>$C27*F$8</f>
        <v>5692862.45281663</v>
      </c>
      <c r="G27" s="50">
        <f>$C27*G$8</f>
        <v>10038563.041561082</v>
      </c>
      <c r="I27" s="271" t="s">
        <v>193</v>
      </c>
      <c r="J27" s="277">
        <v>18400</v>
      </c>
      <c r="K27" s="277">
        <v>71470</v>
      </c>
      <c r="L27" s="274"/>
      <c r="M27" s="274"/>
      <c r="N27" s="275"/>
    </row>
    <row r="28" spans="1:14" ht="15.75" thickBot="1">
      <c r="A28" s="31"/>
      <c r="B28" s="21" t="s">
        <v>48</v>
      </c>
      <c r="C28" s="51">
        <v>4400000</v>
      </c>
      <c r="D28" s="49">
        <f aca="true" t="shared" si="2" ref="D28:G31">$C28*D$8</f>
        <v>489648.54105626146</v>
      </c>
      <c r="E28" s="49">
        <f t="shared" si="2"/>
        <v>396574.85143399687</v>
      </c>
      <c r="F28" s="49">
        <f t="shared" si="2"/>
        <v>1056902.733856252</v>
      </c>
      <c r="G28" s="50">
        <f t="shared" si="2"/>
        <v>1863699.4676315933</v>
      </c>
      <c r="I28" s="271" t="s">
        <v>194</v>
      </c>
      <c r="J28" s="277">
        <f>(J26+(J27/J25))/1.6</f>
        <v>65.27083333333333</v>
      </c>
      <c r="K28" s="277">
        <f>(K26+(K27/K25))/1.6</f>
        <v>138.71249999999998</v>
      </c>
      <c r="L28" s="274"/>
      <c r="M28" s="274"/>
      <c r="N28" s="275"/>
    </row>
    <row r="29" spans="1:14" ht="15.75" customHeight="1" thickBot="1">
      <c r="A29" s="31"/>
      <c r="B29" s="21" t="s">
        <v>49</v>
      </c>
      <c r="C29" s="51">
        <v>200000</v>
      </c>
      <c r="D29" s="49">
        <f t="shared" si="2"/>
        <v>22256.751866193703</v>
      </c>
      <c r="E29" s="49">
        <f t="shared" si="2"/>
        <v>18026.12961063622</v>
      </c>
      <c r="F29" s="49">
        <f t="shared" si="2"/>
        <v>48041.03335710236</v>
      </c>
      <c r="G29" s="50">
        <f t="shared" si="2"/>
        <v>84713.61216507242</v>
      </c>
      <c r="I29" s="279" t="s">
        <v>118</v>
      </c>
      <c r="J29" s="280" t="s">
        <v>117</v>
      </c>
      <c r="K29" s="281" t="s">
        <v>15</v>
      </c>
      <c r="L29" s="281" t="s">
        <v>16</v>
      </c>
      <c r="M29" s="281" t="s">
        <v>17</v>
      </c>
      <c r="N29" s="282" t="s">
        <v>18</v>
      </c>
    </row>
    <row r="30" spans="1:15" ht="15.75" customHeight="1">
      <c r="A30" s="31"/>
      <c r="B30" s="21" t="s">
        <v>50</v>
      </c>
      <c r="C30" s="51">
        <v>15000</v>
      </c>
      <c r="D30" s="49">
        <f t="shared" si="2"/>
        <v>1669.2563899645277</v>
      </c>
      <c r="E30" s="49">
        <f t="shared" si="2"/>
        <v>1351.9597207977165</v>
      </c>
      <c r="F30" s="49">
        <f t="shared" si="2"/>
        <v>3603.077501782677</v>
      </c>
      <c r="G30" s="50">
        <f t="shared" si="2"/>
        <v>6353.5209123804325</v>
      </c>
      <c r="I30" s="278" t="s">
        <v>200</v>
      </c>
      <c r="J30" s="427">
        <f>J23/100</f>
        <v>0.37617417512690354</v>
      </c>
      <c r="K30" s="428">
        <f>J30*K8</f>
        <v>0.49668018793970886</v>
      </c>
      <c r="L30" s="428">
        <f>K30*L8</f>
        <v>0.5214066908041768</v>
      </c>
      <c r="M30" s="428">
        <f>L30*M8</f>
        <v>1.574648206227571</v>
      </c>
      <c r="N30" s="428">
        <f>M30*N8</f>
        <v>7.916412636122351</v>
      </c>
      <c r="O30" s="266" t="s">
        <v>199</v>
      </c>
    </row>
    <row r="31" spans="1:7" ht="15">
      <c r="A31" s="31"/>
      <c r="B31" s="21" t="s">
        <v>51</v>
      </c>
      <c r="C31" s="51">
        <v>1000000</v>
      </c>
      <c r="D31" s="49">
        <f t="shared" si="2"/>
        <v>111283.75933096852</v>
      </c>
      <c r="E31" s="49">
        <f t="shared" si="2"/>
        <v>90130.64805318111</v>
      </c>
      <c r="F31" s="49">
        <f t="shared" si="2"/>
        <v>240205.1667855118</v>
      </c>
      <c r="G31" s="50">
        <f t="shared" si="2"/>
        <v>423568.06082536216</v>
      </c>
    </row>
    <row r="32" spans="1:7" ht="15">
      <c r="A32" s="31"/>
      <c r="B32" s="21" t="s">
        <v>52</v>
      </c>
      <c r="C32" s="43">
        <v>2.5</v>
      </c>
      <c r="D32" s="52">
        <v>2.5</v>
      </c>
      <c r="E32" s="52">
        <v>2.5</v>
      </c>
      <c r="F32" s="52">
        <v>2.5</v>
      </c>
      <c r="G32" s="53">
        <v>2.5</v>
      </c>
    </row>
    <row r="33" spans="1:7" ht="15">
      <c r="A33" s="31"/>
      <c r="B33" s="21" t="s">
        <v>53</v>
      </c>
      <c r="C33" s="54">
        <v>0.4</v>
      </c>
      <c r="D33" s="55">
        <v>0.4</v>
      </c>
      <c r="E33" s="55">
        <v>0.4</v>
      </c>
      <c r="F33" s="55">
        <v>0.4</v>
      </c>
      <c r="G33" s="56">
        <v>0.4</v>
      </c>
    </row>
    <row r="34" spans="1:7" ht="15">
      <c r="A34" s="31"/>
      <c r="B34" s="21" t="s">
        <v>54</v>
      </c>
      <c r="C34" s="51">
        <v>1000000</v>
      </c>
      <c r="D34" s="49">
        <f>$C34*D$8</f>
        <v>111283.75933096852</v>
      </c>
      <c r="E34" s="49">
        <f>$C34*E$8</f>
        <v>90130.64805318111</v>
      </c>
      <c r="F34" s="49">
        <f>$C34*F$8</f>
        <v>240205.1667855118</v>
      </c>
      <c r="G34" s="50">
        <f>$C34*G$8</f>
        <v>423568.06082536216</v>
      </c>
    </row>
    <row r="35" spans="1:7" ht="15">
      <c r="A35" s="31"/>
      <c r="B35" s="21" t="s">
        <v>52</v>
      </c>
      <c r="C35" s="43">
        <v>5</v>
      </c>
      <c r="D35" s="52">
        <v>5</v>
      </c>
      <c r="E35" s="52">
        <v>5</v>
      </c>
      <c r="F35" s="52">
        <v>5</v>
      </c>
      <c r="G35" s="53">
        <v>5</v>
      </c>
    </row>
    <row r="36" spans="1:7" ht="15.75" thickBot="1">
      <c r="A36" s="35"/>
      <c r="B36" s="26" t="s">
        <v>55</v>
      </c>
      <c r="C36" s="57">
        <v>0.6</v>
      </c>
      <c r="D36" s="58">
        <v>0.6</v>
      </c>
      <c r="E36" s="58">
        <v>0.6</v>
      </c>
      <c r="F36" s="58">
        <v>0.6</v>
      </c>
      <c r="G36" s="59">
        <v>0.6</v>
      </c>
    </row>
    <row r="37" spans="2:7" ht="15.75" thickBot="1">
      <c r="B37" s="140" t="s">
        <v>119</v>
      </c>
      <c r="C37" s="143">
        <f>J11</f>
        <v>69000</v>
      </c>
      <c r="D37" s="141">
        <f>+K11</f>
        <v>91103.89610418765</v>
      </c>
      <c r="E37" s="141">
        <f>+L11</f>
        <v>72435.06493529674</v>
      </c>
      <c r="F37" s="141">
        <f>+M11</f>
        <v>208379.999999862</v>
      </c>
      <c r="G37" s="142">
        <f>+N11</f>
        <v>346891.74999987247</v>
      </c>
    </row>
    <row r="38" spans="1:7" ht="15.75" thickBot="1">
      <c r="A38" s="60" t="s">
        <v>56</v>
      </c>
      <c r="B38" s="61" t="s">
        <v>57</v>
      </c>
      <c r="C38" s="38" t="s">
        <v>58</v>
      </c>
      <c r="D38" s="38" t="s">
        <v>59</v>
      </c>
      <c r="E38" s="38" t="s">
        <v>60</v>
      </c>
      <c r="F38" s="38" t="s">
        <v>61</v>
      </c>
      <c r="G38" s="39" t="s">
        <v>62</v>
      </c>
    </row>
    <row r="39" spans="1:7" ht="15.75" thickTop="1">
      <c r="A39" s="31"/>
      <c r="B39" s="62">
        <v>45</v>
      </c>
      <c r="C39" s="51">
        <v>0</v>
      </c>
      <c r="D39" s="49">
        <f aca="true" t="shared" si="3" ref="D39:G45">$C39*D$8</f>
        <v>0</v>
      </c>
      <c r="E39" s="49">
        <f t="shared" si="3"/>
        <v>0</v>
      </c>
      <c r="F39" s="49">
        <f t="shared" si="3"/>
        <v>0</v>
      </c>
      <c r="G39" s="50">
        <f t="shared" si="3"/>
        <v>0</v>
      </c>
    </row>
    <row r="40" spans="1:7" ht="15">
      <c r="A40" s="31"/>
      <c r="B40" s="62">
        <v>50</v>
      </c>
      <c r="C40" s="51">
        <v>1470</v>
      </c>
      <c r="D40" s="49">
        <f t="shared" si="3"/>
        <v>163.5871262165237</v>
      </c>
      <c r="E40" s="49">
        <f t="shared" si="3"/>
        <v>132.49205263817623</v>
      </c>
      <c r="F40" s="49">
        <f t="shared" si="3"/>
        <v>353.1015951747023</v>
      </c>
      <c r="G40" s="50">
        <f t="shared" si="3"/>
        <v>622.6450494132823</v>
      </c>
    </row>
    <row r="41" spans="1:7" ht="15">
      <c r="A41" s="31"/>
      <c r="B41" s="62">
        <v>55</v>
      </c>
      <c r="C41" s="51">
        <v>3300</v>
      </c>
      <c r="D41" s="49">
        <f t="shared" si="3"/>
        <v>367.2364057921961</v>
      </c>
      <c r="E41" s="49">
        <f t="shared" si="3"/>
        <v>297.43113857549764</v>
      </c>
      <c r="F41" s="49">
        <f t="shared" si="3"/>
        <v>792.6770503921889</v>
      </c>
      <c r="G41" s="50">
        <f t="shared" si="3"/>
        <v>1397.7746007236951</v>
      </c>
    </row>
    <row r="42" spans="1:7" ht="15">
      <c r="A42" s="31"/>
      <c r="B42" s="62">
        <v>60</v>
      </c>
      <c r="C42" s="51">
        <v>5890</v>
      </c>
      <c r="D42" s="49">
        <f t="shared" si="3"/>
        <v>655.4613424594046</v>
      </c>
      <c r="E42" s="49">
        <f t="shared" si="3"/>
        <v>530.8695170332367</v>
      </c>
      <c r="F42" s="49">
        <f t="shared" si="3"/>
        <v>1414.8084323666644</v>
      </c>
      <c r="G42" s="50">
        <f t="shared" si="3"/>
        <v>2494.815878261383</v>
      </c>
    </row>
    <row r="43" spans="1:7" ht="15">
      <c r="A43" s="31"/>
      <c r="B43" s="62">
        <v>65</v>
      </c>
      <c r="C43" s="51">
        <v>10050</v>
      </c>
      <c r="D43" s="49">
        <f t="shared" si="3"/>
        <v>1118.4017812762336</v>
      </c>
      <c r="E43" s="49">
        <f t="shared" si="3"/>
        <v>905.8130129344701</v>
      </c>
      <c r="F43" s="49">
        <f t="shared" si="3"/>
        <v>2414.0619261943934</v>
      </c>
      <c r="G43" s="50">
        <f t="shared" si="3"/>
        <v>4256.85901129489</v>
      </c>
    </row>
    <row r="44" spans="1:7" ht="15">
      <c r="A44" s="31"/>
      <c r="B44" s="62">
        <v>70</v>
      </c>
      <c r="C44" s="51">
        <v>17020</v>
      </c>
      <c r="D44" s="49">
        <f t="shared" si="3"/>
        <v>1894.0495838130842</v>
      </c>
      <c r="E44" s="49">
        <f t="shared" si="3"/>
        <v>1534.0236298651425</v>
      </c>
      <c r="F44" s="49">
        <f t="shared" si="3"/>
        <v>4088.291938689411</v>
      </c>
      <c r="G44" s="50">
        <f t="shared" si="3"/>
        <v>7209.128395247663</v>
      </c>
    </row>
    <row r="45" spans="1:7" ht="15.75" thickBot="1">
      <c r="A45" s="35"/>
      <c r="B45" s="25">
        <v>75</v>
      </c>
      <c r="C45" s="63">
        <v>27020</v>
      </c>
      <c r="D45" s="64">
        <f t="shared" si="3"/>
        <v>3006.887177122769</v>
      </c>
      <c r="E45" s="64">
        <f t="shared" si="3"/>
        <v>2435.3301103969534</v>
      </c>
      <c r="F45" s="64">
        <f t="shared" si="3"/>
        <v>6490.3436065445285</v>
      </c>
      <c r="G45" s="65">
        <f t="shared" si="3"/>
        <v>11444.809003501285</v>
      </c>
    </row>
    <row r="46" spans="1:7" ht="15">
      <c r="A46" s="101"/>
      <c r="B46" s="129"/>
      <c r="C46" s="167" t="s">
        <v>145</v>
      </c>
      <c r="D46" s="86" t="s">
        <v>141</v>
      </c>
      <c r="E46" s="86" t="s">
        <v>142</v>
      </c>
      <c r="F46" s="86" t="s">
        <v>143</v>
      </c>
      <c r="G46" s="86" t="s">
        <v>144</v>
      </c>
    </row>
    <row r="47" spans="1:7" ht="15">
      <c r="A47" s="101"/>
      <c r="B47" s="129"/>
      <c r="C47" s="168">
        <f>9.1/100</f>
        <v>0.091</v>
      </c>
      <c r="D47" s="169">
        <f>C47*K8/1.61</f>
        <v>0.074628270280683</v>
      </c>
      <c r="E47" s="169">
        <f>D47*L8/1.61</f>
        <v>0.04866057794392068</v>
      </c>
      <c r="F47" s="169">
        <f>E47*M8/1.61</f>
        <v>0.09127636359661064</v>
      </c>
      <c r="G47" s="169">
        <f>F47*N8/1.61</f>
        <v>0.2850213115640734</v>
      </c>
    </row>
    <row r="48" ht="15.75" thickBot="1">
      <c r="C48" s="4"/>
    </row>
    <row r="49" spans="1:7" ht="15.75" thickBot="1">
      <c r="A49" s="60" t="s">
        <v>63</v>
      </c>
      <c r="B49" s="66" t="s">
        <v>64</v>
      </c>
      <c r="C49" s="38" t="s">
        <v>65</v>
      </c>
      <c r="D49" s="38" t="s">
        <v>66</v>
      </c>
      <c r="E49" s="38" t="s">
        <v>67</v>
      </c>
      <c r="F49" s="38" t="s">
        <v>68</v>
      </c>
      <c r="G49" s="39" t="s">
        <v>69</v>
      </c>
    </row>
    <row r="50" spans="1:7" ht="15.75" thickTop="1">
      <c r="A50" s="31" t="s">
        <v>70</v>
      </c>
      <c r="B50" s="67" t="s">
        <v>71</v>
      </c>
      <c r="C50" s="68">
        <v>12000</v>
      </c>
      <c r="D50" s="49">
        <f aca="true" t="shared" si="4" ref="D50:G65">$C50*D$8</f>
        <v>1335.405111971622</v>
      </c>
      <c r="E50" s="49">
        <f t="shared" si="4"/>
        <v>1081.5677766381732</v>
      </c>
      <c r="F50" s="49">
        <f t="shared" si="4"/>
        <v>2882.4620014261413</v>
      </c>
      <c r="G50" s="50">
        <f t="shared" si="4"/>
        <v>5082.816729904345</v>
      </c>
    </row>
    <row r="51" spans="1:7" ht="15">
      <c r="A51" s="31"/>
      <c r="B51" s="67" t="s">
        <v>72</v>
      </c>
      <c r="C51" s="51">
        <v>7700</v>
      </c>
      <c r="D51" s="49">
        <f t="shared" si="4"/>
        <v>856.8849468484575</v>
      </c>
      <c r="E51" s="49">
        <f t="shared" si="4"/>
        <v>694.0059900094946</v>
      </c>
      <c r="F51" s="49">
        <f t="shared" si="4"/>
        <v>1849.5797842484408</v>
      </c>
      <c r="G51" s="50">
        <f t="shared" si="4"/>
        <v>3261.4740683552886</v>
      </c>
    </row>
    <row r="52" spans="1:7" ht="15">
      <c r="A52" s="31"/>
      <c r="B52" s="67" t="s">
        <v>73</v>
      </c>
      <c r="C52" s="51">
        <v>5500</v>
      </c>
      <c r="D52" s="49">
        <f t="shared" si="4"/>
        <v>612.0606763203268</v>
      </c>
      <c r="E52" s="49">
        <f t="shared" si="4"/>
        <v>495.71856429249607</v>
      </c>
      <c r="F52" s="49">
        <f t="shared" si="4"/>
        <v>1321.1284173203148</v>
      </c>
      <c r="G52" s="50">
        <f t="shared" si="4"/>
        <v>2329.624334539492</v>
      </c>
    </row>
    <row r="53" spans="1:7" ht="15.75" thickBot="1">
      <c r="A53" s="35"/>
      <c r="B53" s="69" t="s">
        <v>74</v>
      </c>
      <c r="C53" s="63">
        <v>3500</v>
      </c>
      <c r="D53" s="64">
        <f t="shared" si="4"/>
        <v>389.4931576583898</v>
      </c>
      <c r="E53" s="64">
        <f t="shared" si="4"/>
        <v>315.4572681861339</v>
      </c>
      <c r="F53" s="64">
        <f t="shared" si="4"/>
        <v>840.7180837492913</v>
      </c>
      <c r="G53" s="65">
        <f t="shared" si="4"/>
        <v>1482.4882128887675</v>
      </c>
    </row>
    <row r="54" spans="1:7" ht="15">
      <c r="A54" s="70" t="s">
        <v>75</v>
      </c>
      <c r="B54" s="71" t="s">
        <v>71</v>
      </c>
      <c r="C54" s="72">
        <v>70</v>
      </c>
      <c r="D54" s="73">
        <f t="shared" si="4"/>
        <v>7.789863153167796</v>
      </c>
      <c r="E54" s="73">
        <f t="shared" si="4"/>
        <v>6.309145363722678</v>
      </c>
      <c r="F54" s="73">
        <f t="shared" si="4"/>
        <v>16.814361674985825</v>
      </c>
      <c r="G54" s="74">
        <f t="shared" si="4"/>
        <v>29.64976425777535</v>
      </c>
    </row>
    <row r="55" spans="1:7" ht="15">
      <c r="A55" s="31"/>
      <c r="B55" s="67" t="s">
        <v>72</v>
      </c>
      <c r="C55" s="51">
        <v>45</v>
      </c>
      <c r="D55" s="49">
        <f t="shared" si="4"/>
        <v>5.007769169893583</v>
      </c>
      <c r="E55" s="49">
        <f t="shared" si="4"/>
        <v>4.05587916239315</v>
      </c>
      <c r="F55" s="49">
        <f t="shared" si="4"/>
        <v>10.80923250534803</v>
      </c>
      <c r="G55" s="50">
        <f t="shared" si="4"/>
        <v>19.060562737141296</v>
      </c>
    </row>
    <row r="56" spans="1:7" ht="15">
      <c r="A56" s="31"/>
      <c r="B56" s="67" t="s">
        <v>73</v>
      </c>
      <c r="C56" s="51">
        <v>30</v>
      </c>
      <c r="D56" s="49">
        <f t="shared" si="4"/>
        <v>3.3385127799290553</v>
      </c>
      <c r="E56" s="49">
        <f t="shared" si="4"/>
        <v>2.703919441595433</v>
      </c>
      <c r="F56" s="49">
        <f t="shared" si="4"/>
        <v>7.206155003565354</v>
      </c>
      <c r="G56" s="50">
        <f t="shared" si="4"/>
        <v>12.707041824760864</v>
      </c>
    </row>
    <row r="57" spans="1:7" ht="15.75" thickBot="1">
      <c r="A57" s="35"/>
      <c r="B57" s="69" t="s">
        <v>74</v>
      </c>
      <c r="C57" s="63">
        <v>20</v>
      </c>
      <c r="D57" s="64">
        <f t="shared" si="4"/>
        <v>2.2256751866193705</v>
      </c>
      <c r="E57" s="64">
        <f t="shared" si="4"/>
        <v>1.8026129610636221</v>
      </c>
      <c r="F57" s="64">
        <f t="shared" si="4"/>
        <v>4.804103335710236</v>
      </c>
      <c r="G57" s="65">
        <f t="shared" si="4"/>
        <v>8.471361216507242</v>
      </c>
    </row>
    <row r="58" spans="1:7" ht="15">
      <c r="A58" s="70" t="s">
        <v>76</v>
      </c>
      <c r="B58" s="71" t="s">
        <v>71</v>
      </c>
      <c r="C58" s="72">
        <v>350</v>
      </c>
      <c r="D58" s="73">
        <f t="shared" si="4"/>
        <v>38.94931576583898</v>
      </c>
      <c r="E58" s="73">
        <f t="shared" si="4"/>
        <v>31.54572681861339</v>
      </c>
      <c r="F58" s="73">
        <f t="shared" si="4"/>
        <v>84.07180837492913</v>
      </c>
      <c r="G58" s="74">
        <f t="shared" si="4"/>
        <v>148.24882128887674</v>
      </c>
    </row>
    <row r="59" spans="1:7" ht="15">
      <c r="A59" s="31"/>
      <c r="B59" s="67" t="s">
        <v>72</v>
      </c>
      <c r="C59" s="51">
        <v>220</v>
      </c>
      <c r="D59" s="49">
        <f t="shared" si="4"/>
        <v>24.482427052813073</v>
      </c>
      <c r="E59" s="49">
        <f t="shared" si="4"/>
        <v>19.828742571699845</v>
      </c>
      <c r="F59" s="49">
        <f t="shared" si="4"/>
        <v>52.845136692812595</v>
      </c>
      <c r="G59" s="50">
        <f t="shared" si="4"/>
        <v>93.18497338157967</v>
      </c>
    </row>
    <row r="60" spans="1:7" ht="15">
      <c r="A60" s="31"/>
      <c r="B60" s="67" t="s">
        <v>73</v>
      </c>
      <c r="C60" s="51">
        <v>160</v>
      </c>
      <c r="D60" s="49">
        <f t="shared" si="4"/>
        <v>17.805401492954964</v>
      </c>
      <c r="E60" s="49">
        <f t="shared" si="4"/>
        <v>14.420903688508977</v>
      </c>
      <c r="F60" s="49">
        <f t="shared" si="4"/>
        <v>38.43282668568189</v>
      </c>
      <c r="G60" s="50">
        <f t="shared" si="4"/>
        <v>67.77088973205794</v>
      </c>
    </row>
    <row r="61" spans="1:7" ht="15.75" thickBot="1">
      <c r="A61" s="35"/>
      <c r="B61" s="69" t="s">
        <v>74</v>
      </c>
      <c r="C61" s="63">
        <v>100</v>
      </c>
      <c r="D61" s="64">
        <f t="shared" si="4"/>
        <v>11.128375933096851</v>
      </c>
      <c r="E61" s="64">
        <f t="shared" si="4"/>
        <v>9.01306480531811</v>
      </c>
      <c r="F61" s="64">
        <f t="shared" si="4"/>
        <v>24.02051667855118</v>
      </c>
      <c r="G61" s="65">
        <f t="shared" si="4"/>
        <v>42.35680608253622</v>
      </c>
    </row>
    <row r="62" spans="1:7" ht="15">
      <c r="A62" s="70" t="s">
        <v>77</v>
      </c>
      <c r="B62" s="71" t="s">
        <v>71</v>
      </c>
      <c r="C62" s="72">
        <v>40</v>
      </c>
      <c r="D62" s="73">
        <f t="shared" si="4"/>
        <v>4.451350373238741</v>
      </c>
      <c r="E62" s="73">
        <f t="shared" si="4"/>
        <v>3.6052259221272442</v>
      </c>
      <c r="F62" s="73">
        <f t="shared" si="4"/>
        <v>9.608206671420472</v>
      </c>
      <c r="G62" s="74">
        <f t="shared" si="4"/>
        <v>16.942722433014485</v>
      </c>
    </row>
    <row r="63" spans="1:7" ht="15">
      <c r="A63" s="31"/>
      <c r="B63" s="67" t="s">
        <v>72</v>
      </c>
      <c r="C63" s="51">
        <v>30</v>
      </c>
      <c r="D63" s="49">
        <f t="shared" si="4"/>
        <v>3.3385127799290553</v>
      </c>
      <c r="E63" s="49">
        <f t="shared" si="4"/>
        <v>2.703919441595433</v>
      </c>
      <c r="F63" s="49">
        <f t="shared" si="4"/>
        <v>7.206155003565354</v>
      </c>
      <c r="G63" s="50">
        <f t="shared" si="4"/>
        <v>12.707041824760864</v>
      </c>
    </row>
    <row r="64" spans="1:7" ht="15">
      <c r="A64" s="31"/>
      <c r="B64" s="67" t="s">
        <v>73</v>
      </c>
      <c r="C64" s="51">
        <v>20</v>
      </c>
      <c r="D64" s="49">
        <f t="shared" si="4"/>
        <v>2.2256751866193705</v>
      </c>
      <c r="E64" s="49">
        <f t="shared" si="4"/>
        <v>1.8026129610636221</v>
      </c>
      <c r="F64" s="49">
        <f t="shared" si="4"/>
        <v>4.804103335710236</v>
      </c>
      <c r="G64" s="50">
        <f t="shared" si="4"/>
        <v>8.471361216507242</v>
      </c>
    </row>
    <row r="65" spans="1:7" ht="15.75" thickBot="1">
      <c r="A65" s="35"/>
      <c r="B65" s="69" t="s">
        <v>74</v>
      </c>
      <c r="C65" s="63">
        <v>15</v>
      </c>
      <c r="D65" s="64">
        <f t="shared" si="4"/>
        <v>1.6692563899645276</v>
      </c>
      <c r="E65" s="64">
        <f t="shared" si="4"/>
        <v>1.3519597207977165</v>
      </c>
      <c r="F65" s="64">
        <f t="shared" si="4"/>
        <v>3.603077501782677</v>
      </c>
      <c r="G65" s="65">
        <f t="shared" si="4"/>
        <v>6.353520912380432</v>
      </c>
    </row>
    <row r="66" spans="1:7" ht="15">
      <c r="A66" s="75" t="s">
        <v>78</v>
      </c>
      <c r="B66" s="76" t="s">
        <v>79</v>
      </c>
      <c r="C66" s="77">
        <v>1.08</v>
      </c>
      <c r="D66" s="78">
        <f aca="true" t="shared" si="5" ref="D66:G67">$C66*D$8</f>
        <v>0.120186460077446</v>
      </c>
      <c r="E66" s="78">
        <f t="shared" si="5"/>
        <v>0.0973410998974356</v>
      </c>
      <c r="F66" s="78">
        <f t="shared" si="5"/>
        <v>0.25942158012835276</v>
      </c>
      <c r="G66" s="79">
        <f t="shared" si="5"/>
        <v>0.45745350569139115</v>
      </c>
    </row>
    <row r="67" spans="1:7" ht="15.75" thickBot="1">
      <c r="A67" s="80"/>
      <c r="B67" s="81" t="s">
        <v>80</v>
      </c>
      <c r="C67" s="82">
        <v>1.45</v>
      </c>
      <c r="D67" s="83">
        <f t="shared" si="5"/>
        <v>0.16136145102990435</v>
      </c>
      <c r="E67" s="83">
        <f t="shared" si="5"/>
        <v>0.1306894396771126</v>
      </c>
      <c r="F67" s="83">
        <f t="shared" si="5"/>
        <v>0.3482974918389921</v>
      </c>
      <c r="G67" s="84">
        <f t="shared" si="5"/>
        <v>0.6141736881967751</v>
      </c>
    </row>
    <row r="69" spans="3:7" ht="15">
      <c r="C69" s="21" t="s">
        <v>135</v>
      </c>
      <c r="D69" s="21" t="s">
        <v>136</v>
      </c>
      <c r="E69" s="21" t="s">
        <v>139</v>
      </c>
      <c r="F69" s="21" t="s">
        <v>137</v>
      </c>
      <c r="G69" s="21" t="s">
        <v>138</v>
      </c>
    </row>
    <row r="70" spans="2:7" ht="15">
      <c r="B70" s="197" t="s">
        <v>165</v>
      </c>
      <c r="C70" s="176">
        <f>J12/1.61</f>
        <v>0.023602484472049687</v>
      </c>
      <c r="D70" s="177">
        <f>K12/1.61</f>
        <v>0.031163453523801697</v>
      </c>
      <c r="E70" s="175">
        <f>L12/1.61</f>
        <v>0.024777499932858726</v>
      </c>
      <c r="F70" s="177">
        <f>M12/1.61</f>
        <v>0.07127950310554285</v>
      </c>
      <c r="G70" s="177">
        <f>N12/1.61</f>
        <v>0.11865952380948017</v>
      </c>
    </row>
    <row r="71" spans="2:7" ht="15">
      <c r="B71" s="197" t="str">
        <f aca="true" t="shared" si="6" ref="B71:G72">I13</f>
        <v>Value of local air quality per car km</v>
      </c>
      <c r="C71" s="176">
        <f t="shared" si="6"/>
        <v>0.004</v>
      </c>
      <c r="D71" s="177">
        <f t="shared" si="6"/>
        <v>0.005281385281402182</v>
      </c>
      <c r="E71" s="177">
        <f t="shared" si="6"/>
        <v>0.004199134199147637</v>
      </c>
      <c r="F71" s="177">
        <f t="shared" si="6"/>
        <v>0.012079999999992</v>
      </c>
      <c r="G71" s="177">
        <f t="shared" si="6"/>
        <v>0.02010966666665927</v>
      </c>
    </row>
    <row r="72" spans="2:7" ht="15">
      <c r="B72" s="197" t="str">
        <f t="shared" si="6"/>
        <v>Operating costs for cars per km</v>
      </c>
      <c r="C72" s="176">
        <f t="shared" si="6"/>
        <v>0.265</v>
      </c>
      <c r="D72" s="177">
        <f t="shared" si="6"/>
        <v>0.34989177489289464</v>
      </c>
      <c r="E72" s="177">
        <f t="shared" si="6"/>
        <v>0.27819264069353095</v>
      </c>
      <c r="F72" s="177">
        <f t="shared" si="6"/>
        <v>0.80029999999947</v>
      </c>
      <c r="G72" s="177">
        <f t="shared" si="6"/>
        <v>1.332265416666177</v>
      </c>
    </row>
    <row r="73" spans="2:7" ht="15">
      <c r="B73" s="208" t="str">
        <f aca="true" t="shared" si="7" ref="B73:G73">I16</f>
        <v>Non-GHG Air Pollution Costs (per vehicle km)</v>
      </c>
      <c r="C73" s="209">
        <f t="shared" si="7"/>
        <v>0.08012422360248447</v>
      </c>
      <c r="D73" s="210">
        <f t="shared" si="7"/>
        <v>0.07810127260733771</v>
      </c>
      <c r="E73" s="210">
        <f t="shared" si="7"/>
        <v>0.060529110282326624</v>
      </c>
      <c r="F73" s="210">
        <f t="shared" si="7"/>
        <v>0.13495147943473548</v>
      </c>
      <c r="G73" s="210">
        <f t="shared" si="7"/>
        <v>0.5008745292559664</v>
      </c>
    </row>
    <row r="74" spans="2:7" ht="15">
      <c r="B74" s="21" t="s">
        <v>200</v>
      </c>
      <c r="C74" s="267">
        <f>J30</f>
        <v>0.37617417512690354</v>
      </c>
      <c r="D74" s="177">
        <f>K30</f>
        <v>0.49668018793970886</v>
      </c>
      <c r="E74" s="177">
        <f>L30</f>
        <v>0.5214066908041768</v>
      </c>
      <c r="F74" s="177">
        <f>M30</f>
        <v>1.574648206227571</v>
      </c>
      <c r="G74" s="177">
        <f>N30</f>
        <v>7.916412636122351</v>
      </c>
    </row>
  </sheetData>
  <sheetProtection/>
  <mergeCells count="1">
    <mergeCell ref="A1:J1"/>
  </mergeCells>
  <hyperlinks>
    <hyperlink ref="H6" r:id="rId1" display="Converter"/>
    <hyperlink ref="H7" r:id="rId2" display="PPS"/>
    <hyperlink ref="O12" r:id="rId3" display="https://www.gov.uk/government/uploads/system/uploads/attachment_data/file/51151/msb-technical-report.pdf"/>
    <hyperlink ref="O13" r:id="rId4" display="http://www.dft.gov.uk/webtag/documents/archive/1208/unit3.9.5.pdf"/>
    <hyperlink ref="O14" r:id="rId5" display="http://www.theaa.com/resources/Documents/pdf/motoring-advice/running-costs/petrol2013.pdf"/>
    <hyperlink ref="O16" r:id="rId6" display="http://www.vtpi.org/tca/tca0510.pdf"/>
  </hyperlinks>
  <printOptions/>
  <pageMargins left="0.7" right="0.7" top="0.75" bottom="0.75" header="0.3" footer="0.3"/>
  <pageSetup horizontalDpi="600" verticalDpi="600" orientation="portrait" paperSize="9" r:id="rId7"/>
</worksheet>
</file>

<file path=xl/worksheets/sheet2.xml><?xml version="1.0" encoding="utf-8"?>
<worksheet xmlns="http://schemas.openxmlformats.org/spreadsheetml/2006/main" xmlns:r="http://schemas.openxmlformats.org/officeDocument/2006/relationships">
  <dimension ref="A1:M40"/>
  <sheetViews>
    <sheetView zoomScale="85" zoomScaleNormal="85" zoomScalePageLayoutView="0" workbookViewId="0" topLeftCell="A17">
      <selection activeCell="C21" sqref="C21"/>
    </sheetView>
  </sheetViews>
  <sheetFormatPr defaultColWidth="9.140625" defaultRowHeight="15"/>
  <cols>
    <col min="1" max="1" width="16.28125" style="0" customWidth="1"/>
    <col min="2" max="2" width="15.28125" style="0" customWidth="1"/>
    <col min="3" max="3" width="19.57421875" style="0" customWidth="1"/>
    <col min="4" max="4" width="16.57421875" style="0" customWidth="1"/>
    <col min="5" max="5" width="6.140625" style="0" customWidth="1"/>
    <col min="6" max="6" width="14.00390625" style="0" customWidth="1"/>
    <col min="7" max="7" width="20.140625" style="0" customWidth="1"/>
    <col min="8" max="8" width="17.57421875" style="0" customWidth="1"/>
    <col min="16" max="16" width="13.57421875" style="0" customWidth="1"/>
  </cols>
  <sheetData>
    <row r="1" ht="18.75">
      <c r="A1" s="159" t="s">
        <v>237</v>
      </c>
    </row>
    <row r="2" spans="1:7" ht="15">
      <c r="A2" s="162" t="s">
        <v>238</v>
      </c>
      <c r="B2" s="255"/>
      <c r="C2" s="255"/>
      <c r="D2" s="255"/>
      <c r="E2" s="255"/>
      <c r="F2" s="255"/>
      <c r="G2" s="255"/>
    </row>
    <row r="3" spans="1:7" ht="65.25" customHeight="1">
      <c r="A3" s="422" t="s">
        <v>241</v>
      </c>
      <c r="B3" s="422"/>
      <c r="C3" s="422"/>
      <c r="D3" s="422"/>
      <c r="E3" s="422"/>
      <c r="F3" s="422"/>
      <c r="G3" s="376"/>
    </row>
    <row r="4" spans="1:7" ht="15">
      <c r="A4" s="377"/>
      <c r="B4" s="377"/>
      <c r="C4" s="377"/>
      <c r="D4" s="377"/>
      <c r="E4" s="377"/>
      <c r="F4" s="377"/>
      <c r="G4" s="377"/>
    </row>
    <row r="5" spans="1:7" ht="15">
      <c r="A5" s="378" t="s">
        <v>239</v>
      </c>
      <c r="B5" s="377"/>
      <c r="C5" s="377"/>
      <c r="D5" s="377"/>
      <c r="E5" s="377"/>
      <c r="F5" s="377"/>
      <c r="G5" s="377"/>
    </row>
    <row r="6" spans="1:7" ht="60.75" customHeight="1">
      <c r="A6" s="418" t="s">
        <v>240</v>
      </c>
      <c r="B6" s="418"/>
      <c r="C6" s="418"/>
      <c r="D6" s="418"/>
      <c r="E6" s="418"/>
      <c r="F6" s="418"/>
      <c r="G6" s="379"/>
    </row>
    <row r="7" spans="1:7" ht="15">
      <c r="A7" s="366"/>
      <c r="B7" s="366"/>
      <c r="C7" s="366"/>
      <c r="D7" s="366"/>
      <c r="E7" s="366"/>
      <c r="F7" s="366"/>
      <c r="G7" s="379"/>
    </row>
    <row r="8" spans="1:7" ht="15">
      <c r="A8" s="257" t="s">
        <v>242</v>
      </c>
      <c r="B8" s="366"/>
      <c r="C8" s="366"/>
      <c r="D8" s="366"/>
      <c r="E8" s="366"/>
      <c r="F8" s="366"/>
      <c r="G8" s="379"/>
    </row>
    <row r="9" spans="1:7" ht="68.25" customHeight="1">
      <c r="A9" s="422" t="s">
        <v>220</v>
      </c>
      <c r="B9" s="422"/>
      <c r="C9" s="422"/>
      <c r="D9" s="422"/>
      <c r="E9" s="422"/>
      <c r="F9" s="422"/>
      <c r="G9" s="422"/>
    </row>
    <row r="10" spans="1:7" ht="49.5" customHeight="1">
      <c r="A10" s="422" t="s">
        <v>246</v>
      </c>
      <c r="B10" s="422"/>
      <c r="C10" s="422"/>
      <c r="D10" s="422"/>
      <c r="E10" s="422"/>
      <c r="F10" s="422"/>
      <c r="G10" s="422"/>
    </row>
    <row r="11" spans="1:7" ht="15">
      <c r="A11" s="377"/>
      <c r="B11" s="377"/>
      <c r="C11" s="377"/>
      <c r="D11" s="377"/>
      <c r="E11" s="377"/>
      <c r="F11" s="377"/>
      <c r="G11" s="377"/>
    </row>
    <row r="12" spans="1:7" ht="15">
      <c r="A12" s="378" t="s">
        <v>247</v>
      </c>
      <c r="B12" s="377"/>
      <c r="C12" s="377"/>
      <c r="D12" s="377"/>
      <c r="E12" s="377"/>
      <c r="F12" s="377"/>
      <c r="G12" s="377"/>
    </row>
    <row r="13" spans="1:7" ht="15">
      <c r="A13" s="380" t="s">
        <v>243</v>
      </c>
      <c r="B13" s="377"/>
      <c r="C13" s="377"/>
      <c r="D13" s="377"/>
      <c r="E13" s="377"/>
      <c r="F13" s="377"/>
      <c r="G13" s="377"/>
    </row>
    <row r="14" spans="1:7" ht="15">
      <c r="A14" s="380" t="s">
        <v>244</v>
      </c>
      <c r="B14" s="377"/>
      <c r="C14" s="377"/>
      <c r="D14" s="377"/>
      <c r="E14" s="377"/>
      <c r="F14" s="377"/>
      <c r="G14" s="377"/>
    </row>
    <row r="15" spans="1:7" ht="15">
      <c r="A15" s="381" t="s">
        <v>236</v>
      </c>
      <c r="B15" s="381"/>
      <c r="C15" s="381"/>
      <c r="D15" s="381"/>
      <c r="E15" s="381"/>
      <c r="F15" s="381"/>
      <c r="G15" s="381"/>
    </row>
    <row r="16" spans="1:7" ht="17.25" customHeight="1">
      <c r="A16" s="381" t="s">
        <v>245</v>
      </c>
      <c r="B16" s="381"/>
      <c r="C16" s="381"/>
      <c r="D16" s="381"/>
      <c r="E16" s="381"/>
      <c r="F16" s="381"/>
      <c r="G16" s="381"/>
    </row>
    <row r="17" spans="1:7" ht="21" customHeight="1">
      <c r="A17" s="421"/>
      <c r="B17" s="421"/>
      <c r="C17" s="421"/>
      <c r="D17" s="421"/>
      <c r="E17" s="421"/>
      <c r="F17" s="421"/>
      <c r="G17" s="421"/>
    </row>
    <row r="18" spans="2:8" ht="18.75">
      <c r="B18" s="296" t="s">
        <v>1</v>
      </c>
      <c r="C18" s="294"/>
      <c r="D18" s="293"/>
      <c r="E18" s="292"/>
      <c r="F18" s="311" t="s">
        <v>2</v>
      </c>
      <c r="G18" s="295"/>
      <c r="H18" s="295"/>
    </row>
    <row r="19" spans="2:13" s="161" customFormat="1" ht="91.5" customHeight="1">
      <c r="B19" s="129" t="s">
        <v>0</v>
      </c>
      <c r="C19" s="223" t="s">
        <v>286</v>
      </c>
      <c r="D19" s="223" t="s">
        <v>289</v>
      </c>
      <c r="E19" s="410"/>
      <c r="F19" s="129" t="s">
        <v>0</v>
      </c>
      <c r="G19" s="223" t="s">
        <v>286</v>
      </c>
      <c r="H19" s="223" t="s">
        <v>289</v>
      </c>
      <c r="I19" s="160"/>
      <c r="J19" s="160"/>
      <c r="K19" s="160"/>
      <c r="L19" s="160"/>
      <c r="M19" s="160"/>
    </row>
    <row r="20" spans="1:13" s="161" customFormat="1" ht="15">
      <c r="A20" s="256">
        <f>IF('Main calculation'!$B$36=2013,"Starting year --&gt;","")</f>
      </c>
      <c r="B20" s="304">
        <f>'Main calculation'!C43</f>
        <v>2013</v>
      </c>
      <c r="C20" s="408">
        <f>60000*0.81</f>
        <v>48600</v>
      </c>
      <c r="D20" s="409"/>
      <c r="E20" s="313"/>
      <c r="F20" s="5">
        <f>B20</f>
        <v>2013</v>
      </c>
      <c r="G20" s="408">
        <f>450000*0.81</f>
        <v>364500</v>
      </c>
      <c r="H20" s="408">
        <v>0</v>
      </c>
      <c r="I20" s="160"/>
      <c r="J20" s="160"/>
      <c r="K20" s="160"/>
      <c r="L20" s="160"/>
      <c r="M20" s="160"/>
    </row>
    <row r="21" spans="1:13" s="161" customFormat="1" ht="15">
      <c r="A21" s="256" t="str">
        <f>IF('Main calculation'!$B$36=2014,"Starting year --&gt;","")</f>
        <v>Starting year --&gt;</v>
      </c>
      <c r="B21" s="304">
        <f>'Main calculation'!C44</f>
        <v>2014</v>
      </c>
      <c r="C21" s="408">
        <v>0</v>
      </c>
      <c r="D21" s="408">
        <f>4000*0.81</f>
        <v>3240</v>
      </c>
      <c r="E21" s="313"/>
      <c r="F21" s="5">
        <f>B21</f>
        <v>2014</v>
      </c>
      <c r="G21" s="408"/>
      <c r="H21" s="408">
        <f>3000*0.81</f>
        <v>2430</v>
      </c>
      <c r="I21" s="160"/>
      <c r="J21" s="160"/>
      <c r="K21" s="160"/>
      <c r="L21" s="160"/>
      <c r="M21" s="160"/>
    </row>
    <row r="22" spans="1:8" ht="15">
      <c r="A22" s="256">
        <f>IF('Main calculation'!$B$36=2015,"Starting year --&gt;","")</f>
      </c>
      <c r="B22" s="304">
        <f>'Main calculation'!C45</f>
        <v>2015</v>
      </c>
      <c r="C22" s="408"/>
      <c r="D22" s="408">
        <f aca="true" t="shared" si="0" ref="D22:D35">4000*0.81</f>
        <v>3240</v>
      </c>
      <c r="E22" s="112"/>
      <c r="F22" s="5">
        <f>B22</f>
        <v>2015</v>
      </c>
      <c r="G22" s="408"/>
      <c r="H22" s="408">
        <f aca="true" t="shared" si="1" ref="H22:H35">3000*0.81</f>
        <v>2430</v>
      </c>
    </row>
    <row r="23" spans="1:8" ht="15">
      <c r="A23" s="256">
        <f>IF('Main calculation'!$B$36=2016,"Starting year --&gt;","")</f>
      </c>
      <c r="B23" s="304">
        <f>'Main calculation'!C46</f>
        <v>2016</v>
      </c>
      <c r="C23" s="408"/>
      <c r="D23" s="408">
        <f t="shared" si="0"/>
        <v>3240</v>
      </c>
      <c r="E23" s="112"/>
      <c r="F23" s="5">
        <f aca="true" t="shared" si="2" ref="F23:F37">B23</f>
        <v>2016</v>
      </c>
      <c r="G23" s="408"/>
      <c r="H23" s="408">
        <f t="shared" si="1"/>
        <v>2430</v>
      </c>
    </row>
    <row r="24" spans="1:8" ht="15">
      <c r="A24" s="256">
        <f>IF('Main calculation'!$B$36=2017,"Starting year --&gt;","")</f>
      </c>
      <c r="B24" s="304">
        <f>'Main calculation'!C47</f>
        <v>2017</v>
      </c>
      <c r="C24" s="408"/>
      <c r="D24" s="408">
        <f t="shared" si="0"/>
        <v>3240</v>
      </c>
      <c r="E24" s="112"/>
      <c r="F24" s="5">
        <f t="shared" si="2"/>
        <v>2017</v>
      </c>
      <c r="G24" s="408"/>
      <c r="H24" s="408">
        <f t="shared" si="1"/>
        <v>2430</v>
      </c>
    </row>
    <row r="25" spans="1:8" ht="15">
      <c r="A25" s="256">
        <f>IF('Main calculation'!$B$36=2018,"Starting year --&gt;","")</f>
      </c>
      <c r="B25" s="304">
        <f>'Main calculation'!C48</f>
        <v>2018</v>
      </c>
      <c r="C25" s="408"/>
      <c r="D25" s="408">
        <f t="shared" si="0"/>
        <v>3240</v>
      </c>
      <c r="E25" s="112"/>
      <c r="F25" s="5">
        <f t="shared" si="2"/>
        <v>2018</v>
      </c>
      <c r="G25" s="408"/>
      <c r="H25" s="408">
        <f t="shared" si="1"/>
        <v>2430</v>
      </c>
    </row>
    <row r="26" spans="1:8" ht="15">
      <c r="A26" s="256">
        <f>IF('Main calculation'!$B$36=2019,"Starting year --&gt;","")</f>
      </c>
      <c r="B26" s="304">
        <f>'Main calculation'!C49</f>
        <v>2019</v>
      </c>
      <c r="C26" s="408"/>
      <c r="D26" s="408">
        <f t="shared" si="0"/>
        <v>3240</v>
      </c>
      <c r="E26" s="112"/>
      <c r="F26" s="5">
        <f t="shared" si="2"/>
        <v>2019</v>
      </c>
      <c r="G26" s="408"/>
      <c r="H26" s="408">
        <f t="shared" si="1"/>
        <v>2430</v>
      </c>
    </row>
    <row r="27" spans="1:8" ht="15">
      <c r="A27" s="256">
        <f>IF('Main calculation'!$B$36=2020,"Starting year --&gt;","")</f>
      </c>
      <c r="B27" s="304">
        <f>'Main calculation'!C50</f>
        <v>2020</v>
      </c>
      <c r="C27" s="408"/>
      <c r="D27" s="408">
        <f t="shared" si="0"/>
        <v>3240</v>
      </c>
      <c r="E27" s="112"/>
      <c r="F27" s="5">
        <f t="shared" si="2"/>
        <v>2020</v>
      </c>
      <c r="G27" s="408"/>
      <c r="H27" s="408">
        <f t="shared" si="1"/>
        <v>2430</v>
      </c>
    </row>
    <row r="28" spans="1:8" ht="15">
      <c r="A28" s="256">
        <f>IF('Main calculation'!$B$36=2021,"Starting year --&gt;","")</f>
      </c>
      <c r="B28" s="304">
        <f>'Main calculation'!C51</f>
        <v>2021</v>
      </c>
      <c r="C28" s="408"/>
      <c r="D28" s="408">
        <f t="shared" si="0"/>
        <v>3240</v>
      </c>
      <c r="E28" s="112"/>
      <c r="F28" s="5">
        <f t="shared" si="2"/>
        <v>2021</v>
      </c>
      <c r="G28" s="408"/>
      <c r="H28" s="408">
        <f t="shared" si="1"/>
        <v>2430</v>
      </c>
    </row>
    <row r="29" spans="1:8" ht="15">
      <c r="A29" s="256">
        <f>IF('Main calculation'!$B$36=2022,"Starting year --&gt;","")</f>
      </c>
      <c r="B29" s="304">
        <f>'Main calculation'!C52</f>
        <v>2022</v>
      </c>
      <c r="C29" s="408"/>
      <c r="D29" s="408">
        <f t="shared" si="0"/>
        <v>3240</v>
      </c>
      <c r="E29" s="112"/>
      <c r="F29" s="5">
        <f t="shared" si="2"/>
        <v>2022</v>
      </c>
      <c r="G29" s="408"/>
      <c r="H29" s="408">
        <f t="shared" si="1"/>
        <v>2430</v>
      </c>
    </row>
    <row r="30" spans="1:8" ht="15">
      <c r="A30" s="256">
        <f>IF('Main calculation'!$B$36=2023,"Starting year --&gt;","")</f>
      </c>
      <c r="B30" s="304">
        <f>'Main calculation'!C53</f>
        <v>2023</v>
      </c>
      <c r="C30" s="408"/>
      <c r="D30" s="408">
        <f t="shared" si="0"/>
        <v>3240</v>
      </c>
      <c r="E30" s="112"/>
      <c r="F30" s="5">
        <f t="shared" si="2"/>
        <v>2023</v>
      </c>
      <c r="G30" s="408"/>
      <c r="H30" s="408">
        <f t="shared" si="1"/>
        <v>2430</v>
      </c>
    </row>
    <row r="31" spans="1:8" ht="15">
      <c r="A31" s="256">
        <f>IF('Main calculation'!$B$36=2024,"Starting year --&gt;","")</f>
      </c>
      <c r="B31" s="304">
        <f>'Main calculation'!C54</f>
        <v>2024</v>
      </c>
      <c r="C31" s="408"/>
      <c r="D31" s="408">
        <f t="shared" si="0"/>
        <v>3240</v>
      </c>
      <c r="E31" s="112"/>
      <c r="F31" s="5">
        <f t="shared" si="2"/>
        <v>2024</v>
      </c>
      <c r="G31" s="408"/>
      <c r="H31" s="408">
        <f t="shared" si="1"/>
        <v>2430</v>
      </c>
    </row>
    <row r="32" spans="1:8" ht="15">
      <c r="A32" s="256">
        <f>IF('Main calculation'!$B$36=2025,"Starting year --&gt;","")</f>
      </c>
      <c r="B32" s="304">
        <f>'Main calculation'!C55</f>
        <v>2025</v>
      </c>
      <c r="C32" s="408"/>
      <c r="D32" s="408">
        <f t="shared" si="0"/>
        <v>3240</v>
      </c>
      <c r="E32" s="112"/>
      <c r="F32" s="5">
        <f t="shared" si="2"/>
        <v>2025</v>
      </c>
      <c r="G32" s="408"/>
      <c r="H32" s="408">
        <f t="shared" si="1"/>
        <v>2430</v>
      </c>
    </row>
    <row r="33" spans="1:8" ht="15">
      <c r="A33" s="256">
        <f>IF('Main calculation'!$B$36=2026,"Starting year --&gt;","")</f>
      </c>
      <c r="B33" s="304">
        <f>'Main calculation'!C56</f>
        <v>2026</v>
      </c>
      <c r="C33" s="408"/>
      <c r="D33" s="408">
        <f t="shared" si="0"/>
        <v>3240</v>
      </c>
      <c r="E33" s="112"/>
      <c r="F33" s="5">
        <f t="shared" si="2"/>
        <v>2026</v>
      </c>
      <c r="G33" s="408"/>
      <c r="H33" s="408">
        <f t="shared" si="1"/>
        <v>2430</v>
      </c>
    </row>
    <row r="34" spans="1:8" ht="15">
      <c r="A34" s="256">
        <f>IF('Main calculation'!$B$36=2027,"Starting year --&gt;","")</f>
      </c>
      <c r="B34" s="304">
        <f>'Main calculation'!C57</f>
        <v>2027</v>
      </c>
      <c r="C34" s="408"/>
      <c r="D34" s="408">
        <f t="shared" si="0"/>
        <v>3240</v>
      </c>
      <c r="E34" s="112"/>
      <c r="F34" s="5">
        <f t="shared" si="2"/>
        <v>2027</v>
      </c>
      <c r="G34" s="408"/>
      <c r="H34" s="408">
        <f t="shared" si="1"/>
        <v>2430</v>
      </c>
    </row>
    <row r="35" spans="1:8" ht="15">
      <c r="A35" s="256" t="str">
        <f>IF('Main calculation'!$B$37=2028,"Finishing year --&gt;","")</f>
        <v>Finishing year --&gt;</v>
      </c>
      <c r="B35" s="304">
        <f>'Main calculation'!C58</f>
        <v>2028</v>
      </c>
      <c r="C35" s="408"/>
      <c r="D35" s="408">
        <f t="shared" si="0"/>
        <v>3240</v>
      </c>
      <c r="E35" s="112"/>
      <c r="F35" s="5">
        <f t="shared" si="2"/>
        <v>2028</v>
      </c>
      <c r="G35" s="408"/>
      <c r="H35" s="408">
        <f t="shared" si="1"/>
        <v>2430</v>
      </c>
    </row>
    <row r="36" spans="1:8" ht="15">
      <c r="A36" s="256">
        <f>IF('Main calculation'!$B$37=2029,"Finishing year --&gt;","")</f>
      </c>
      <c r="B36" s="304">
        <f>'Main calculation'!C59</f>
        <v>2029</v>
      </c>
      <c r="C36" s="408"/>
      <c r="D36" s="408"/>
      <c r="E36" s="112"/>
      <c r="F36" s="5">
        <f t="shared" si="2"/>
        <v>2029</v>
      </c>
      <c r="G36" s="408"/>
      <c r="H36" s="408"/>
    </row>
    <row r="37" spans="1:8" ht="15">
      <c r="A37" s="256">
        <f>IF('Main calculation'!$B$37=2030,"Finishing year --&gt;","")</f>
      </c>
      <c r="B37" s="304">
        <f>'Main calculation'!C60</f>
        <v>2030</v>
      </c>
      <c r="C37" s="408"/>
      <c r="D37" s="408"/>
      <c r="E37" s="112"/>
      <c r="F37" s="5">
        <f t="shared" si="2"/>
        <v>2030</v>
      </c>
      <c r="G37" s="408"/>
      <c r="H37" s="408"/>
    </row>
    <row r="38" ht="15">
      <c r="A38" s="256">
        <f>IF('Main calculation'!$B$37=2031,"Finishing year --&gt;","")</f>
      </c>
    </row>
    <row r="39" ht="15">
      <c r="A39" s="256">
        <f>IF('Main calculation'!$B$37=2032,"Finishing year --&gt;","")</f>
      </c>
    </row>
    <row r="40" ht="15">
      <c r="A40" s="256">
        <f>IF('Main calculation'!$B$37=2033,"Finishing year --&gt;","")</f>
      </c>
    </row>
  </sheetData>
  <sheetProtection/>
  <mergeCells count="5">
    <mergeCell ref="A17:G17"/>
    <mergeCell ref="A9:G9"/>
    <mergeCell ref="A10:G10"/>
    <mergeCell ref="A3:F3"/>
    <mergeCell ref="A6:F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46"/>
  <sheetViews>
    <sheetView zoomScale="85" zoomScaleNormal="85" zoomScalePageLayoutView="0" workbookViewId="0" topLeftCell="R24">
      <selection activeCell="AC39" sqref="AC39"/>
    </sheetView>
  </sheetViews>
  <sheetFormatPr defaultColWidth="9.140625" defaultRowHeight="15"/>
  <cols>
    <col min="1" max="1" width="15.57421875" style="0" customWidth="1"/>
    <col min="2" max="2" width="11.421875" style="0" customWidth="1"/>
    <col min="3" max="3" width="19.8515625" style="0" customWidth="1"/>
    <col min="4" max="4" width="21.140625" style="0" customWidth="1"/>
    <col min="5" max="5" width="15.28125" style="0" customWidth="1"/>
    <col min="6" max="6" width="14.28125" style="0" customWidth="1"/>
    <col min="7" max="7" width="18.421875" style="0" customWidth="1"/>
    <col min="8" max="8" width="17.00390625" style="0" customWidth="1"/>
    <col min="9" max="9" width="14.140625" style="0" customWidth="1"/>
    <col min="10" max="10" width="15.8515625" style="0" customWidth="1"/>
    <col min="11" max="11" width="18.00390625" style="0" customWidth="1"/>
    <col min="12" max="12" width="12.00390625" style="0" customWidth="1"/>
    <col min="13" max="13" width="15.28125" style="0" customWidth="1"/>
    <col min="14" max="14" width="14.7109375" style="0" customWidth="1"/>
    <col min="16" max="16" width="14.00390625" style="0" customWidth="1"/>
    <col min="17" max="17" width="20.57421875" style="0" customWidth="1"/>
    <col min="18" max="18" width="19.421875" style="0" customWidth="1"/>
    <col min="19" max="19" width="18.00390625" style="0" customWidth="1"/>
    <col min="20" max="20" width="13.00390625" style="0" customWidth="1"/>
    <col min="21" max="21" width="21.00390625" style="0" customWidth="1"/>
    <col min="22" max="22" width="16.421875" style="0" customWidth="1"/>
    <col min="23" max="23" width="13.421875" style="0" customWidth="1"/>
    <col min="24" max="24" width="22.421875" style="0" customWidth="1"/>
    <col min="25" max="25" width="18.00390625" style="0" customWidth="1"/>
    <col min="26" max="26" width="14.00390625" style="0" customWidth="1"/>
    <col min="27" max="27" width="14.7109375" style="0" customWidth="1"/>
    <col min="28" max="28" width="13.57421875" style="0" customWidth="1"/>
    <col min="29" max="29" width="12.8515625" style="0" customWidth="1"/>
    <col min="30" max="30" width="10.00390625" style="0" customWidth="1"/>
  </cols>
  <sheetData>
    <row r="1" spans="1:7" ht="18.75">
      <c r="A1" s="159" t="s">
        <v>258</v>
      </c>
      <c r="B1" s="255"/>
      <c r="C1" s="255"/>
      <c r="D1" s="255"/>
      <c r="E1" s="255"/>
      <c r="F1" s="255"/>
      <c r="G1" s="255"/>
    </row>
    <row r="2" spans="1:11" ht="66.75" customHeight="1">
      <c r="A2" s="422" t="s">
        <v>251</v>
      </c>
      <c r="B2" s="422"/>
      <c r="C2" s="422"/>
      <c r="D2" s="422"/>
      <c r="E2" s="422"/>
      <c r="F2" s="422"/>
      <c r="G2" s="422"/>
      <c r="H2" s="228"/>
      <c r="I2" s="228"/>
      <c r="J2" s="228"/>
      <c r="K2" s="228"/>
    </row>
    <row r="3" spans="1:11" s="255" customFormat="1" ht="15">
      <c r="A3" s="377"/>
      <c r="B3" s="377"/>
      <c r="C3" s="377"/>
      <c r="D3" s="377"/>
      <c r="E3" s="377"/>
      <c r="F3" s="377"/>
      <c r="G3" s="377"/>
      <c r="H3" s="354"/>
      <c r="I3" s="354"/>
      <c r="J3" s="354"/>
      <c r="K3" s="354"/>
    </row>
    <row r="4" spans="1:11" s="255" customFormat="1" ht="15">
      <c r="A4" s="378" t="s">
        <v>247</v>
      </c>
      <c r="B4" s="377"/>
      <c r="C4" s="377"/>
      <c r="D4" s="377"/>
      <c r="E4" s="377"/>
      <c r="F4" s="377"/>
      <c r="G4" s="377"/>
      <c r="H4" s="354"/>
      <c r="I4" s="354"/>
      <c r="J4" s="354"/>
      <c r="K4" s="354"/>
    </row>
    <row r="5" spans="1:11" s="255" customFormat="1" ht="15">
      <c r="A5" s="380" t="s">
        <v>255</v>
      </c>
      <c r="B5" s="377"/>
      <c r="C5" s="377"/>
      <c r="D5" s="377"/>
      <c r="E5" s="377"/>
      <c r="F5" s="377"/>
      <c r="G5" s="377"/>
      <c r="H5" s="354"/>
      <c r="I5" s="354"/>
      <c r="J5" s="354"/>
      <c r="K5" s="354"/>
    </row>
    <row r="6" spans="1:11" s="255" customFormat="1" ht="15">
      <c r="A6" s="380" t="s">
        <v>296</v>
      </c>
      <c r="B6" s="377"/>
      <c r="C6" s="377"/>
      <c r="D6" s="377"/>
      <c r="E6" s="377"/>
      <c r="F6" s="377"/>
      <c r="G6" s="377"/>
      <c r="H6" s="354"/>
      <c r="I6" s="354"/>
      <c r="J6" s="354"/>
      <c r="K6" s="354"/>
    </row>
    <row r="7" spans="1:11" s="255" customFormat="1" ht="15">
      <c r="A7" s="380" t="s">
        <v>256</v>
      </c>
      <c r="B7" s="377"/>
      <c r="C7" s="377"/>
      <c r="D7" s="377"/>
      <c r="E7" s="377"/>
      <c r="F7" s="377"/>
      <c r="G7" s="377"/>
      <c r="H7" s="354"/>
      <c r="I7" s="354"/>
      <c r="J7" s="354"/>
      <c r="K7" s="354"/>
    </row>
    <row r="8" spans="1:11" s="255" customFormat="1" ht="15">
      <c r="A8" s="380"/>
      <c r="B8" s="377"/>
      <c r="C8" s="377"/>
      <c r="D8" s="377"/>
      <c r="E8" s="377"/>
      <c r="F8" s="377"/>
      <c r="G8" s="377"/>
      <c r="H8" s="354"/>
      <c r="I8" s="354"/>
      <c r="J8" s="354"/>
      <c r="K8" s="354"/>
    </row>
    <row r="9" ht="15">
      <c r="A9" t="s">
        <v>297</v>
      </c>
    </row>
    <row r="10" ht="15">
      <c r="A10" t="s">
        <v>257</v>
      </c>
    </row>
    <row r="11" ht="15.75" thickBot="1"/>
    <row r="12" spans="1:4" ht="15">
      <c r="A12" s="152"/>
      <c r="B12" s="153" t="str">
        <f>HLOOKUP('Main calculation'!$B$34,'Monetary Values'!$D$3:$G$67,14,FALSE)</f>
        <v>EURg/h</v>
      </c>
      <c r="C12" s="153"/>
      <c r="D12" s="154" t="str">
        <f>HLOOKUP('Main calculation'!$B$34,'Monetary Values'!$D$3:$G$67,14,FALSE)</f>
        <v>EURg/h</v>
      </c>
    </row>
    <row r="13" spans="1:4" ht="15">
      <c r="A13" s="393" t="s">
        <v>118</v>
      </c>
      <c r="B13" s="394" t="s">
        <v>32</v>
      </c>
      <c r="C13" s="122" t="s">
        <v>130</v>
      </c>
      <c r="D13" s="403" t="s">
        <v>213</v>
      </c>
    </row>
    <row r="14" spans="1:16" ht="15">
      <c r="A14" s="395" t="s">
        <v>90</v>
      </c>
      <c r="B14" s="396">
        <f>HLOOKUP('Main calculation'!$B$34,'Monetary Values'!$D$3:$G$67,15,FALSE)</f>
        <v>12.0186460077446</v>
      </c>
      <c r="C14" s="397" t="s">
        <v>90</v>
      </c>
      <c r="D14" s="385">
        <f>B14</f>
        <v>12.0186460077446</v>
      </c>
      <c r="F14" s="87"/>
      <c r="G14" s="87"/>
      <c r="H14" s="87"/>
      <c r="I14" s="87"/>
      <c r="J14" s="87"/>
      <c r="K14" s="87"/>
      <c r="L14" s="87"/>
      <c r="M14" s="87"/>
      <c r="N14" s="87"/>
      <c r="O14" s="87"/>
      <c r="P14" s="87"/>
    </row>
    <row r="15" spans="1:16" ht="15">
      <c r="A15" s="393" t="s">
        <v>121</v>
      </c>
      <c r="B15" s="398">
        <f>HLOOKUP('Main calculation'!$B$34,'Monetary Values'!$D$3:$G$67,16,FALSE)</f>
        <v>4.451350373238741</v>
      </c>
      <c r="C15" s="122" t="s">
        <v>87</v>
      </c>
      <c r="D15" s="386">
        <f>B15</f>
        <v>4.451350373238741</v>
      </c>
      <c r="F15" s="87"/>
      <c r="G15" s="87"/>
      <c r="H15" s="87"/>
      <c r="I15" s="87"/>
      <c r="J15" s="87"/>
      <c r="K15" s="87"/>
      <c r="L15" s="87"/>
      <c r="M15" s="87"/>
      <c r="N15" s="87"/>
      <c r="O15" s="87"/>
      <c r="P15" s="87"/>
    </row>
    <row r="16" spans="1:16" ht="15" hidden="1">
      <c r="A16" s="393" t="s">
        <v>122</v>
      </c>
      <c r="B16" s="398">
        <f>HLOOKUP('Main calculation'!$B$34,'Monetary Values'!$D$3:$G$67,17,FALSE)</f>
        <v>2.2256751866193705</v>
      </c>
      <c r="C16" s="399"/>
      <c r="D16" s="387"/>
      <c r="F16" s="87"/>
      <c r="G16" s="87"/>
      <c r="H16" s="87"/>
      <c r="I16" s="87"/>
      <c r="J16" s="87"/>
      <c r="K16" s="87"/>
      <c r="L16" s="87"/>
      <c r="M16" s="87"/>
      <c r="N16" s="87"/>
      <c r="O16" s="87"/>
      <c r="P16" s="87"/>
    </row>
    <row r="17" spans="1:16" ht="15" hidden="1">
      <c r="A17" s="393" t="s">
        <v>123</v>
      </c>
      <c r="B17" s="398">
        <f>HLOOKUP('Main calculation'!$B$34,'Monetary Values'!$D$3:$G$67,18,FALSE)</f>
        <v>8.902700746477482</v>
      </c>
      <c r="C17" s="399"/>
      <c r="D17" s="387"/>
      <c r="F17" s="87"/>
      <c r="G17" s="87"/>
      <c r="H17" s="87"/>
      <c r="I17" s="87"/>
      <c r="J17" s="87"/>
      <c r="K17" s="87"/>
      <c r="L17" s="87"/>
      <c r="M17" s="87"/>
      <c r="N17" s="87"/>
      <c r="O17" s="87"/>
      <c r="P17" s="87"/>
    </row>
    <row r="18" spans="1:4" ht="15">
      <c r="A18" s="393" t="s">
        <v>124</v>
      </c>
      <c r="B18" s="398">
        <f>HLOOKUP('Main calculation'!$B$34,'Monetary Values'!$D$3:$G$67,19,FALSE)</f>
        <v>16.692563899645275</v>
      </c>
      <c r="C18" s="122" t="s">
        <v>89</v>
      </c>
      <c r="D18" s="386">
        <f>(B18+B19)/2</f>
        <v>15.023307509680748</v>
      </c>
    </row>
    <row r="19" spans="1:4" ht="15" hidden="1">
      <c r="A19" s="393" t="s">
        <v>125</v>
      </c>
      <c r="B19" s="398">
        <f>HLOOKUP('Main calculation'!$B$34,'Monetary Values'!$D$3:$G$67,20,FALSE)</f>
        <v>13.354051119716221</v>
      </c>
      <c r="C19" s="399"/>
      <c r="D19" s="387"/>
    </row>
    <row r="20" spans="1:4" ht="15.75" thickBot="1">
      <c r="A20" s="400" t="s">
        <v>91</v>
      </c>
      <c r="B20" s="401">
        <f>HLOOKUP('Main calculation'!$B$34,'Monetary Values'!$D$3:$G$67,21,FALSE)</f>
        <v>5.675471725879394</v>
      </c>
      <c r="C20" s="402" t="s">
        <v>91</v>
      </c>
      <c r="D20" s="388">
        <f>AVERAGE(B20,B21)</f>
        <v>8.51320758881909</v>
      </c>
    </row>
    <row r="21" spans="1:4" ht="15.75" hidden="1" thickBot="1">
      <c r="A21" s="140" t="s">
        <v>126</v>
      </c>
      <c r="B21" s="219">
        <f>HLOOKUP('Main calculation'!$B$34,'Monetary Values'!$D$3:$G$67,22,FALSE)</f>
        <v>11.350943451758788</v>
      </c>
      <c r="C21" s="150"/>
      <c r="D21" s="151"/>
    </row>
    <row r="22" ht="15">
      <c r="A22" s="3"/>
    </row>
    <row r="23" spans="3:28" ht="18.75">
      <c r="C23" s="352" t="s">
        <v>1</v>
      </c>
      <c r="D23" s="216"/>
      <c r="E23" s="216"/>
      <c r="F23" s="216"/>
      <c r="G23" s="216"/>
      <c r="H23" s="216"/>
      <c r="I23" s="216"/>
      <c r="J23" s="216"/>
      <c r="K23" s="216"/>
      <c r="L23" s="216"/>
      <c r="M23" s="216"/>
      <c r="N23" s="216"/>
      <c r="O23" s="112"/>
      <c r="P23" s="211" t="s">
        <v>2</v>
      </c>
      <c r="Q23" s="212"/>
      <c r="R23" s="212"/>
      <c r="S23" s="212"/>
      <c r="T23" s="212"/>
      <c r="U23" s="217"/>
      <c r="V23" s="212"/>
      <c r="W23" s="212"/>
      <c r="X23" s="212"/>
      <c r="Y23" s="212"/>
      <c r="Z23" s="212"/>
      <c r="AA23" s="212"/>
      <c r="AB23" s="215"/>
    </row>
    <row r="24" spans="2:29" ht="15.75" thickBot="1">
      <c r="B24" s="5"/>
      <c r="C24" s="225" t="s">
        <v>92</v>
      </c>
      <c r="D24" s="226"/>
      <c r="E24" s="225" t="s">
        <v>93</v>
      </c>
      <c r="F24" s="227"/>
      <c r="G24" s="225" t="s">
        <v>252</v>
      </c>
      <c r="H24" s="227"/>
      <c r="I24" s="227"/>
      <c r="J24" s="225" t="s">
        <v>94</v>
      </c>
      <c r="K24" s="227"/>
      <c r="L24" s="226"/>
      <c r="M24" s="88"/>
      <c r="N24" s="90"/>
      <c r="O24" s="112"/>
      <c r="P24" s="103"/>
      <c r="Q24" s="225" t="s">
        <v>92</v>
      </c>
      <c r="R24" s="226"/>
      <c r="S24" s="225" t="s">
        <v>93</v>
      </c>
      <c r="T24" s="227"/>
      <c r="U24" s="225" t="s">
        <v>252</v>
      </c>
      <c r="V24" s="227"/>
      <c r="W24" s="227"/>
      <c r="X24" s="225" t="s">
        <v>94</v>
      </c>
      <c r="Y24" s="227"/>
      <c r="Z24" s="226"/>
      <c r="AA24" s="5"/>
      <c r="AB24" s="103"/>
      <c r="AC24" s="155"/>
    </row>
    <row r="25" spans="2:31" ht="75.75" thickTop="1">
      <c r="B25" s="5" t="s">
        <v>0</v>
      </c>
      <c r="C25" s="220" t="s">
        <v>95</v>
      </c>
      <c r="D25" s="221" t="s">
        <v>131</v>
      </c>
      <c r="E25" s="222" t="s">
        <v>96</v>
      </c>
      <c r="F25" s="223" t="s">
        <v>210</v>
      </c>
      <c r="G25" s="222" t="s">
        <v>253</v>
      </c>
      <c r="H25" s="223" t="s">
        <v>211</v>
      </c>
      <c r="I25" s="223" t="s">
        <v>9</v>
      </c>
      <c r="J25" s="222" t="s">
        <v>97</v>
      </c>
      <c r="K25" s="223" t="s">
        <v>132</v>
      </c>
      <c r="L25" s="224" t="s">
        <v>9</v>
      </c>
      <c r="M25" s="222" t="s">
        <v>10</v>
      </c>
      <c r="N25" s="223" t="s">
        <v>214</v>
      </c>
      <c r="O25" s="130"/>
      <c r="P25" s="404" t="s">
        <v>0</v>
      </c>
      <c r="Q25" s="220" t="s">
        <v>95</v>
      </c>
      <c r="R25" s="221" t="s">
        <v>131</v>
      </c>
      <c r="S25" s="222" t="s">
        <v>96</v>
      </c>
      <c r="T25" s="223" t="s">
        <v>210</v>
      </c>
      <c r="U25" s="222" t="s">
        <v>253</v>
      </c>
      <c r="V25" s="223" t="s">
        <v>211</v>
      </c>
      <c r="W25" s="223" t="s">
        <v>9</v>
      </c>
      <c r="X25" s="222" t="s">
        <v>97</v>
      </c>
      <c r="Y25" s="223" t="s">
        <v>132</v>
      </c>
      <c r="Z25" s="224" t="s">
        <v>9</v>
      </c>
      <c r="AA25" s="222" t="s">
        <v>10</v>
      </c>
      <c r="AB25" s="224" t="s">
        <v>214</v>
      </c>
      <c r="AC25" s="156"/>
      <c r="AD25" s="3"/>
      <c r="AE25" s="3"/>
    </row>
    <row r="26" spans="1:31" ht="15">
      <c r="A26" s="256">
        <f>IF('Main calculation'!$B$36=2013,"Starting year --&gt;","")</f>
      </c>
      <c r="B26" s="5">
        <f>'Main calculation'!C43</f>
        <v>2013</v>
      </c>
      <c r="C26" s="96"/>
      <c r="D26" s="97"/>
      <c r="E26" s="96"/>
      <c r="F26" s="97"/>
      <c r="G26" s="106"/>
      <c r="H26" s="93"/>
      <c r="I26" s="97"/>
      <c r="J26" s="106"/>
      <c r="K26" s="93"/>
      <c r="L26" s="97"/>
      <c r="M26" s="129">
        <f>'Main calculation'!$B$38</f>
        <v>300</v>
      </c>
      <c r="N26" s="406">
        <f>(C26*D26*$D$20+E26*F26*$D$18+G26*H26*I26*$D$15+J26*K26*L26*$D$14)*M26*60</f>
        <v>0</v>
      </c>
      <c r="O26" s="112"/>
      <c r="P26" s="5">
        <f>'Main calculation'!C43</f>
        <v>2013</v>
      </c>
      <c r="Q26" s="96"/>
      <c r="R26" s="104"/>
      <c r="S26" s="96"/>
      <c r="T26" s="97"/>
      <c r="U26" s="106"/>
      <c r="V26" s="93"/>
      <c r="W26" s="104"/>
      <c r="X26" s="96"/>
      <c r="Y26" s="93"/>
      <c r="Z26" s="97"/>
      <c r="AA26" s="129">
        <f>'Main calculation'!$B$38</f>
        <v>300</v>
      </c>
      <c r="AB26" s="405">
        <f>($D$20*Q26*R26+$D$18*S26*T26+$D$15*U26*V26*W26+$D$14*X26*Y26*Z26)*AA26/60</f>
        <v>0</v>
      </c>
      <c r="AC26" s="156"/>
      <c r="AD26" s="163"/>
      <c r="AE26" s="163"/>
    </row>
    <row r="27" spans="1:31" ht="15">
      <c r="A27" s="256" t="str">
        <f>IF('Main calculation'!$B$36=2014,"Starting year --&gt;","")</f>
        <v>Starting year --&gt;</v>
      </c>
      <c r="B27" s="5">
        <f>'Main calculation'!C44</f>
        <v>2014</v>
      </c>
      <c r="C27" s="96"/>
      <c r="D27" s="97"/>
      <c r="E27" s="96">
        <v>2000</v>
      </c>
      <c r="F27" s="97">
        <v>3.43</v>
      </c>
      <c r="G27" s="106">
        <v>150</v>
      </c>
      <c r="H27" s="93">
        <v>2.53</v>
      </c>
      <c r="I27" s="97">
        <v>17</v>
      </c>
      <c r="J27" s="106">
        <v>7000</v>
      </c>
      <c r="K27" s="93">
        <v>1.2</v>
      </c>
      <c r="L27" s="97">
        <v>1.2</v>
      </c>
      <c r="M27" s="129">
        <f>'Main calculation'!$B$38</f>
        <v>300</v>
      </c>
      <c r="N27" s="407">
        <f>(C27*D27*$D$20+E27*F27*$D$18+G27*H27*I27*$D$15+J27*K27*L27*$D$14)*M27/60</f>
        <v>1264628.641037126</v>
      </c>
      <c r="O27" s="112"/>
      <c r="P27" s="5">
        <f>'Main calculation'!C44</f>
        <v>2014</v>
      </c>
      <c r="Q27" s="96"/>
      <c r="R27" s="104"/>
      <c r="S27" s="96">
        <v>2000</v>
      </c>
      <c r="T27" s="97">
        <v>2.67</v>
      </c>
      <c r="U27" s="106">
        <v>150</v>
      </c>
      <c r="V27" s="93">
        <v>2.09</v>
      </c>
      <c r="W27" s="104">
        <v>17</v>
      </c>
      <c r="X27" s="96">
        <v>7000</v>
      </c>
      <c r="Y27" s="93">
        <v>1.5</v>
      </c>
      <c r="Z27" s="97">
        <v>1.2</v>
      </c>
      <c r="AA27" s="129">
        <f>'Main calculation'!$B$38</f>
        <v>300</v>
      </c>
      <c r="AB27" s="405">
        <f aca="true" t="shared" si="0" ref="AB27:AB41">($D$20*Q27*R27+$D$18*S27*T27+$D$15*U27*V27*W27+$D$14*X27*Y27*Z27)*AA27/60</f>
        <v>1276914.368067265</v>
      </c>
      <c r="AC27" s="156"/>
      <c r="AD27" s="163"/>
      <c r="AE27" s="163"/>
    </row>
    <row r="28" spans="1:31" ht="15">
      <c r="A28" s="256">
        <f>IF('Main calculation'!$B$36=2015,"Starting year --&gt;","")</f>
      </c>
      <c r="B28" s="5">
        <f>'Main calculation'!C45</f>
        <v>2015</v>
      </c>
      <c r="C28" s="96"/>
      <c r="D28" s="97"/>
      <c r="E28" s="96">
        <v>2000</v>
      </c>
      <c r="F28" s="97">
        <v>3.43</v>
      </c>
      <c r="G28" s="106">
        <v>150</v>
      </c>
      <c r="H28" s="93">
        <v>2.53</v>
      </c>
      <c r="I28" s="97">
        <v>17</v>
      </c>
      <c r="J28" s="106">
        <v>7000</v>
      </c>
      <c r="K28" s="93">
        <v>1.2</v>
      </c>
      <c r="L28" s="97">
        <v>1.2</v>
      </c>
      <c r="M28" s="129">
        <f>'Main calculation'!$B$38</f>
        <v>300</v>
      </c>
      <c r="N28" s="407">
        <f aca="true" t="shared" si="1" ref="N28:N41">(C28*D28*$D$20+E28*F28*$D$18+G28*H28*I28*$D$15+J28*K28*L28*$D$14)*M28/60</f>
        <v>1264628.641037126</v>
      </c>
      <c r="O28" s="112"/>
      <c r="P28" s="5">
        <f>'Main calculation'!C45</f>
        <v>2015</v>
      </c>
      <c r="Q28" s="96"/>
      <c r="R28" s="104"/>
      <c r="S28" s="96">
        <v>2000</v>
      </c>
      <c r="T28" s="97">
        <v>2.67</v>
      </c>
      <c r="U28" s="106">
        <v>150</v>
      </c>
      <c r="V28" s="93">
        <v>2.09</v>
      </c>
      <c r="W28" s="104">
        <v>17</v>
      </c>
      <c r="X28" s="96">
        <v>7000</v>
      </c>
      <c r="Y28" s="93">
        <v>1.5</v>
      </c>
      <c r="Z28" s="97">
        <v>1.2</v>
      </c>
      <c r="AA28" s="129">
        <f>'Main calculation'!$B$38</f>
        <v>300</v>
      </c>
      <c r="AB28" s="405">
        <f t="shared" si="0"/>
        <v>1276914.368067265</v>
      </c>
      <c r="AC28" s="157"/>
      <c r="AD28" s="4"/>
      <c r="AE28" s="91"/>
    </row>
    <row r="29" spans="1:31" ht="15">
      <c r="A29" s="256">
        <f>IF('Main calculation'!$B$36=2016,"Starting year --&gt;","")</f>
      </c>
      <c r="B29" s="5">
        <f>'Main calculation'!C46</f>
        <v>2016</v>
      </c>
      <c r="C29" s="96"/>
      <c r="D29" s="97"/>
      <c r="E29" s="96">
        <v>2000</v>
      </c>
      <c r="F29" s="97">
        <v>3.43</v>
      </c>
      <c r="G29" s="106">
        <v>150</v>
      </c>
      <c r="H29" s="93">
        <v>2.53</v>
      </c>
      <c r="I29" s="97">
        <v>17</v>
      </c>
      <c r="J29" s="106">
        <v>7000</v>
      </c>
      <c r="K29" s="93">
        <v>1.2</v>
      </c>
      <c r="L29" s="97">
        <v>1.2</v>
      </c>
      <c r="M29" s="129">
        <f>'Main calculation'!$B$38</f>
        <v>300</v>
      </c>
      <c r="N29" s="407">
        <f t="shared" si="1"/>
        <v>1264628.641037126</v>
      </c>
      <c r="O29" s="112"/>
      <c r="P29" s="5">
        <f>'Main calculation'!C46</f>
        <v>2016</v>
      </c>
      <c r="Q29" s="96"/>
      <c r="R29" s="104"/>
      <c r="S29" s="96">
        <v>2000</v>
      </c>
      <c r="T29" s="97">
        <v>2.67</v>
      </c>
      <c r="U29" s="106">
        <v>150</v>
      </c>
      <c r="V29" s="93">
        <v>2.09</v>
      </c>
      <c r="W29" s="104">
        <v>17</v>
      </c>
      <c r="X29" s="96">
        <v>7000</v>
      </c>
      <c r="Y29" s="93">
        <v>1.5</v>
      </c>
      <c r="Z29" s="97">
        <v>1.2</v>
      </c>
      <c r="AA29" s="129">
        <f>'Main calculation'!$B$38</f>
        <v>300</v>
      </c>
      <c r="AB29" s="405">
        <f t="shared" si="0"/>
        <v>1276914.368067265</v>
      </c>
      <c r="AC29" s="157"/>
      <c r="AD29" s="4"/>
      <c r="AE29" s="4"/>
    </row>
    <row r="30" spans="1:31" ht="15">
      <c r="A30" s="256">
        <f>IF('Main calculation'!$B$36=2017,"Starting year --&gt;","")</f>
      </c>
      <c r="B30" s="5">
        <f>'Main calculation'!C47</f>
        <v>2017</v>
      </c>
      <c r="C30" s="96"/>
      <c r="D30" s="97"/>
      <c r="E30" s="96">
        <v>2000</v>
      </c>
      <c r="F30" s="97">
        <v>3.43</v>
      </c>
      <c r="G30" s="106">
        <v>150</v>
      </c>
      <c r="H30" s="93">
        <v>2.53</v>
      </c>
      <c r="I30" s="97">
        <v>17</v>
      </c>
      <c r="J30" s="106">
        <v>7000</v>
      </c>
      <c r="K30" s="93">
        <v>1.2</v>
      </c>
      <c r="L30" s="97">
        <v>1.2</v>
      </c>
      <c r="M30" s="129">
        <f>'Main calculation'!$B$38</f>
        <v>300</v>
      </c>
      <c r="N30" s="407">
        <f t="shared" si="1"/>
        <v>1264628.641037126</v>
      </c>
      <c r="O30" s="112"/>
      <c r="P30" s="5">
        <f>'Main calculation'!C47</f>
        <v>2017</v>
      </c>
      <c r="Q30" s="96"/>
      <c r="R30" s="104"/>
      <c r="S30" s="96">
        <v>2000</v>
      </c>
      <c r="T30" s="97">
        <v>2.67</v>
      </c>
      <c r="U30" s="106">
        <v>150</v>
      </c>
      <c r="V30" s="93">
        <v>2.09</v>
      </c>
      <c r="W30" s="104">
        <v>17</v>
      </c>
      <c r="X30" s="96">
        <v>7000</v>
      </c>
      <c r="Y30" s="93">
        <v>1.5</v>
      </c>
      <c r="Z30" s="97">
        <v>1.2</v>
      </c>
      <c r="AA30" s="129">
        <f>'Main calculation'!$B$38</f>
        <v>300</v>
      </c>
      <c r="AB30" s="405">
        <f t="shared" si="0"/>
        <v>1276914.368067265</v>
      </c>
      <c r="AC30" s="157"/>
      <c r="AD30" s="4"/>
      <c r="AE30" s="4"/>
    </row>
    <row r="31" spans="1:31" ht="15">
      <c r="A31" s="256">
        <f>IF('Main calculation'!$B$36=2018,"Starting year --&gt;","")</f>
      </c>
      <c r="B31" s="5">
        <f>'Main calculation'!C48</f>
        <v>2018</v>
      </c>
      <c r="C31" s="96"/>
      <c r="D31" s="97"/>
      <c r="E31" s="96">
        <v>2000</v>
      </c>
      <c r="F31" s="97">
        <v>3.43</v>
      </c>
      <c r="G31" s="106">
        <v>150</v>
      </c>
      <c r="H31" s="93">
        <v>2.53</v>
      </c>
      <c r="I31" s="97">
        <v>17</v>
      </c>
      <c r="J31" s="106">
        <v>7000</v>
      </c>
      <c r="K31" s="93">
        <v>1.2</v>
      </c>
      <c r="L31" s="97">
        <v>1.2</v>
      </c>
      <c r="M31" s="129">
        <f>'Main calculation'!$B$38</f>
        <v>300</v>
      </c>
      <c r="N31" s="407">
        <f t="shared" si="1"/>
        <v>1264628.641037126</v>
      </c>
      <c r="O31" s="112"/>
      <c r="P31" s="5">
        <f>'Main calculation'!C48</f>
        <v>2018</v>
      </c>
      <c r="Q31" s="96"/>
      <c r="R31" s="104"/>
      <c r="S31" s="96">
        <v>2000</v>
      </c>
      <c r="T31" s="97">
        <v>2.67</v>
      </c>
      <c r="U31" s="106">
        <v>150</v>
      </c>
      <c r="V31" s="93">
        <v>2.09</v>
      </c>
      <c r="W31" s="104">
        <v>17</v>
      </c>
      <c r="X31" s="96">
        <v>7000</v>
      </c>
      <c r="Y31" s="93">
        <v>1.5</v>
      </c>
      <c r="Z31" s="97">
        <v>1.2</v>
      </c>
      <c r="AA31" s="129">
        <f>'Main calculation'!$B$38</f>
        <v>300</v>
      </c>
      <c r="AB31" s="405">
        <f t="shared" si="0"/>
        <v>1276914.368067265</v>
      </c>
      <c r="AC31" s="157"/>
      <c r="AD31" s="4"/>
      <c r="AE31" s="4"/>
    </row>
    <row r="32" spans="1:31" ht="15">
      <c r="A32" s="256">
        <f>IF('Main calculation'!$B$36=2019,"Starting year --&gt;","")</f>
      </c>
      <c r="B32" s="5">
        <f>'Main calculation'!C49</f>
        <v>2019</v>
      </c>
      <c r="C32" s="96"/>
      <c r="D32" s="97"/>
      <c r="E32" s="96">
        <v>2000</v>
      </c>
      <c r="F32" s="97">
        <v>3.43</v>
      </c>
      <c r="G32" s="106">
        <v>150</v>
      </c>
      <c r="H32" s="93">
        <v>2.53</v>
      </c>
      <c r="I32" s="97">
        <v>17</v>
      </c>
      <c r="J32" s="106">
        <v>7000</v>
      </c>
      <c r="K32" s="93">
        <v>1.2</v>
      </c>
      <c r="L32" s="97">
        <v>1.2</v>
      </c>
      <c r="M32" s="129">
        <f>'Main calculation'!$B$38</f>
        <v>300</v>
      </c>
      <c r="N32" s="407">
        <f t="shared" si="1"/>
        <v>1264628.641037126</v>
      </c>
      <c r="O32" s="112"/>
      <c r="P32" s="5">
        <f>'Main calculation'!C49</f>
        <v>2019</v>
      </c>
      <c r="Q32" s="96"/>
      <c r="R32" s="104"/>
      <c r="S32" s="96">
        <v>2000</v>
      </c>
      <c r="T32" s="97">
        <v>2.67</v>
      </c>
      <c r="U32" s="106">
        <v>150</v>
      </c>
      <c r="V32" s="93">
        <v>2.09</v>
      </c>
      <c r="W32" s="104">
        <v>17</v>
      </c>
      <c r="X32" s="96">
        <v>7000</v>
      </c>
      <c r="Y32" s="93">
        <v>1.5</v>
      </c>
      <c r="Z32" s="97">
        <v>1.2</v>
      </c>
      <c r="AA32" s="129">
        <f>'Main calculation'!$B$38</f>
        <v>300</v>
      </c>
      <c r="AB32" s="405">
        <f t="shared" si="0"/>
        <v>1276914.368067265</v>
      </c>
      <c r="AC32" s="157"/>
      <c r="AD32" s="4"/>
      <c r="AE32" s="4"/>
    </row>
    <row r="33" spans="1:31" ht="15">
      <c r="A33" s="256">
        <f>IF('Main calculation'!$B$36=2020,"Starting year --&gt;","")</f>
      </c>
      <c r="B33" s="5">
        <f>'Main calculation'!C50</f>
        <v>2020</v>
      </c>
      <c r="C33" s="96"/>
      <c r="D33" s="97"/>
      <c r="E33" s="96">
        <v>2000</v>
      </c>
      <c r="F33" s="97">
        <v>3.43</v>
      </c>
      <c r="G33" s="106">
        <v>150</v>
      </c>
      <c r="H33" s="93">
        <v>2.53</v>
      </c>
      <c r="I33" s="97">
        <v>17</v>
      </c>
      <c r="J33" s="106">
        <v>7000</v>
      </c>
      <c r="K33" s="93">
        <v>1.2</v>
      </c>
      <c r="L33" s="97">
        <v>1.2</v>
      </c>
      <c r="M33" s="129">
        <f>'Main calculation'!$B$38</f>
        <v>300</v>
      </c>
      <c r="N33" s="407">
        <f t="shared" si="1"/>
        <v>1264628.641037126</v>
      </c>
      <c r="O33" s="112"/>
      <c r="P33" s="5">
        <f>'Main calculation'!C50</f>
        <v>2020</v>
      </c>
      <c r="Q33" s="96"/>
      <c r="R33" s="104"/>
      <c r="S33" s="96">
        <v>2000</v>
      </c>
      <c r="T33" s="97">
        <v>2.67</v>
      </c>
      <c r="U33" s="106">
        <v>150</v>
      </c>
      <c r="V33" s="93">
        <v>2.09</v>
      </c>
      <c r="W33" s="104">
        <v>17</v>
      </c>
      <c r="X33" s="96">
        <v>7000</v>
      </c>
      <c r="Y33" s="93">
        <v>1.5</v>
      </c>
      <c r="Z33" s="97">
        <v>1.2</v>
      </c>
      <c r="AA33" s="129">
        <f>'Main calculation'!$B$38</f>
        <v>300</v>
      </c>
      <c r="AB33" s="405">
        <f t="shared" si="0"/>
        <v>1276914.368067265</v>
      </c>
      <c r="AC33" s="157"/>
      <c r="AD33" s="4"/>
      <c r="AE33" s="4"/>
    </row>
    <row r="34" spans="1:31" ht="15">
      <c r="A34" s="256">
        <f>IF('Main calculation'!$B$36=2021,"Starting year --&gt;","")</f>
      </c>
      <c r="B34" s="5">
        <f>'Main calculation'!C51</f>
        <v>2021</v>
      </c>
      <c r="C34" s="96"/>
      <c r="D34" s="97"/>
      <c r="E34" s="96">
        <v>2000</v>
      </c>
      <c r="F34" s="97">
        <v>3.43</v>
      </c>
      <c r="G34" s="106">
        <v>150</v>
      </c>
      <c r="H34" s="93">
        <v>2.53</v>
      </c>
      <c r="I34" s="97">
        <v>17</v>
      </c>
      <c r="J34" s="106">
        <v>7000</v>
      </c>
      <c r="K34" s="93">
        <v>1.2</v>
      </c>
      <c r="L34" s="97">
        <v>1.2</v>
      </c>
      <c r="M34" s="129">
        <f>'Main calculation'!$B$38</f>
        <v>300</v>
      </c>
      <c r="N34" s="407">
        <f t="shared" si="1"/>
        <v>1264628.641037126</v>
      </c>
      <c r="O34" s="112"/>
      <c r="P34" s="5">
        <f>'Main calculation'!C51</f>
        <v>2021</v>
      </c>
      <c r="Q34" s="96"/>
      <c r="R34" s="104"/>
      <c r="S34" s="96">
        <v>2000</v>
      </c>
      <c r="T34" s="97">
        <v>2.67</v>
      </c>
      <c r="U34" s="106">
        <v>150</v>
      </c>
      <c r="V34" s="93">
        <v>2.09</v>
      </c>
      <c r="W34" s="104">
        <v>17</v>
      </c>
      <c r="X34" s="96">
        <v>7000</v>
      </c>
      <c r="Y34" s="93">
        <v>1.5</v>
      </c>
      <c r="Z34" s="97">
        <v>1.2</v>
      </c>
      <c r="AA34" s="129">
        <f>'Main calculation'!$B$38</f>
        <v>300</v>
      </c>
      <c r="AB34" s="405">
        <f t="shared" si="0"/>
        <v>1276914.368067265</v>
      </c>
      <c r="AC34" s="157"/>
      <c r="AD34" s="4"/>
      <c r="AE34" s="4"/>
    </row>
    <row r="35" spans="1:31" ht="15">
      <c r="A35" s="256">
        <f>IF('Main calculation'!$B$36=2022,"Starting year --&gt;","")</f>
      </c>
      <c r="B35" s="5">
        <f>'Main calculation'!C52</f>
        <v>2022</v>
      </c>
      <c r="C35" s="96"/>
      <c r="D35" s="97"/>
      <c r="E35" s="96">
        <v>2000</v>
      </c>
      <c r="F35" s="97">
        <v>3.43</v>
      </c>
      <c r="G35" s="106">
        <v>150</v>
      </c>
      <c r="H35" s="93">
        <v>2.53</v>
      </c>
      <c r="I35" s="97">
        <v>17</v>
      </c>
      <c r="J35" s="106">
        <v>7000</v>
      </c>
      <c r="K35" s="93">
        <v>1.2</v>
      </c>
      <c r="L35" s="97">
        <v>1.2</v>
      </c>
      <c r="M35" s="129">
        <f>'Main calculation'!$B$38</f>
        <v>300</v>
      </c>
      <c r="N35" s="407">
        <f t="shared" si="1"/>
        <v>1264628.641037126</v>
      </c>
      <c r="O35" s="112"/>
      <c r="P35" s="5">
        <f>'Main calculation'!C52</f>
        <v>2022</v>
      </c>
      <c r="Q35" s="96"/>
      <c r="R35" s="104"/>
      <c r="S35" s="96">
        <v>2000</v>
      </c>
      <c r="T35" s="97">
        <v>2.67</v>
      </c>
      <c r="U35" s="106">
        <v>150</v>
      </c>
      <c r="V35" s="93">
        <v>2.09</v>
      </c>
      <c r="W35" s="104">
        <v>17</v>
      </c>
      <c r="X35" s="96">
        <v>7000</v>
      </c>
      <c r="Y35" s="93">
        <v>1.5</v>
      </c>
      <c r="Z35" s="97">
        <v>1.2</v>
      </c>
      <c r="AA35" s="129">
        <f>'Main calculation'!$B$38</f>
        <v>300</v>
      </c>
      <c r="AB35" s="405">
        <f t="shared" si="0"/>
        <v>1276914.368067265</v>
      </c>
      <c r="AC35" s="157"/>
      <c r="AD35" s="4"/>
      <c r="AE35" s="4"/>
    </row>
    <row r="36" spans="1:31" ht="15">
      <c r="A36" s="256">
        <f>IF('Main calculation'!$B$36=2023,"Starting year --&gt;","")</f>
      </c>
      <c r="B36" s="5">
        <f>'Main calculation'!C53</f>
        <v>2023</v>
      </c>
      <c r="C36" s="96"/>
      <c r="D36" s="97"/>
      <c r="E36" s="96">
        <v>2000</v>
      </c>
      <c r="F36" s="97">
        <v>3.43</v>
      </c>
      <c r="G36" s="106">
        <v>150</v>
      </c>
      <c r="H36" s="93">
        <v>2.53</v>
      </c>
      <c r="I36" s="97">
        <v>17</v>
      </c>
      <c r="J36" s="106">
        <v>7000</v>
      </c>
      <c r="K36" s="93">
        <v>1.2</v>
      </c>
      <c r="L36" s="97">
        <v>1.2</v>
      </c>
      <c r="M36" s="129">
        <f>'Main calculation'!$B$38</f>
        <v>300</v>
      </c>
      <c r="N36" s="407">
        <f t="shared" si="1"/>
        <v>1264628.641037126</v>
      </c>
      <c r="O36" s="112"/>
      <c r="P36" s="5">
        <f>'Main calculation'!C53</f>
        <v>2023</v>
      </c>
      <c r="Q36" s="96"/>
      <c r="R36" s="104"/>
      <c r="S36" s="96">
        <v>2000</v>
      </c>
      <c r="T36" s="97">
        <v>2.67</v>
      </c>
      <c r="U36" s="106">
        <v>150</v>
      </c>
      <c r="V36" s="93">
        <v>2.09</v>
      </c>
      <c r="W36" s="104">
        <v>17</v>
      </c>
      <c r="X36" s="96">
        <v>7000</v>
      </c>
      <c r="Y36" s="93">
        <v>1.5</v>
      </c>
      <c r="Z36" s="97">
        <v>1.2</v>
      </c>
      <c r="AA36" s="129">
        <f>'Main calculation'!$B$38</f>
        <v>300</v>
      </c>
      <c r="AB36" s="405">
        <f t="shared" si="0"/>
        <v>1276914.368067265</v>
      </c>
      <c r="AC36" s="157"/>
      <c r="AD36" s="4"/>
      <c r="AE36" s="4"/>
    </row>
    <row r="37" spans="1:31" ht="15">
      <c r="A37" s="256">
        <f>IF('Main calculation'!$B$36=2024,"Starting year --&gt;","")</f>
      </c>
      <c r="B37" s="5">
        <f>'Main calculation'!C54</f>
        <v>2024</v>
      </c>
      <c r="C37" s="96"/>
      <c r="D37" s="97"/>
      <c r="E37" s="96">
        <v>2000</v>
      </c>
      <c r="F37" s="97">
        <v>3.43</v>
      </c>
      <c r="G37" s="106">
        <v>150</v>
      </c>
      <c r="H37" s="93">
        <v>2.53</v>
      </c>
      <c r="I37" s="97">
        <v>17</v>
      </c>
      <c r="J37" s="106">
        <v>7000</v>
      </c>
      <c r="K37" s="93">
        <v>1.2</v>
      </c>
      <c r="L37" s="97">
        <v>1.2</v>
      </c>
      <c r="M37" s="129">
        <f>'Main calculation'!$B$38</f>
        <v>300</v>
      </c>
      <c r="N37" s="407">
        <f t="shared" si="1"/>
        <v>1264628.641037126</v>
      </c>
      <c r="O37" s="112"/>
      <c r="P37" s="5">
        <f>'Main calculation'!C54</f>
        <v>2024</v>
      </c>
      <c r="Q37" s="96"/>
      <c r="R37" s="104"/>
      <c r="S37" s="96">
        <v>2000</v>
      </c>
      <c r="T37" s="97">
        <v>2.67</v>
      </c>
      <c r="U37" s="106">
        <v>150</v>
      </c>
      <c r="V37" s="93">
        <v>2.09</v>
      </c>
      <c r="W37" s="104">
        <v>17</v>
      </c>
      <c r="X37" s="96">
        <v>7000</v>
      </c>
      <c r="Y37" s="93">
        <v>1.5</v>
      </c>
      <c r="Z37" s="97">
        <v>1.2</v>
      </c>
      <c r="AA37" s="129">
        <f>'Main calculation'!$B$38</f>
        <v>300</v>
      </c>
      <c r="AB37" s="405">
        <f t="shared" si="0"/>
        <v>1276914.368067265</v>
      </c>
      <c r="AC37" s="157"/>
      <c r="AD37" s="4"/>
      <c r="AE37" s="4"/>
    </row>
    <row r="38" spans="1:31" ht="15">
      <c r="A38" s="256">
        <f>IF('Main calculation'!$B$36=2025,"Starting year --&gt;","")</f>
      </c>
      <c r="B38" s="5">
        <f>'Main calculation'!C55</f>
        <v>2025</v>
      </c>
      <c r="C38" s="96"/>
      <c r="D38" s="97"/>
      <c r="E38" s="96">
        <v>2000</v>
      </c>
      <c r="F38" s="97">
        <v>3.43</v>
      </c>
      <c r="G38" s="106">
        <v>150</v>
      </c>
      <c r="H38" s="93">
        <v>2.53</v>
      </c>
      <c r="I38" s="97">
        <v>17</v>
      </c>
      <c r="J38" s="106">
        <v>7000</v>
      </c>
      <c r="K38" s="93">
        <v>1.2</v>
      </c>
      <c r="L38" s="97">
        <v>1.2</v>
      </c>
      <c r="M38" s="129">
        <f>'Main calculation'!$B$38</f>
        <v>300</v>
      </c>
      <c r="N38" s="407">
        <f t="shared" si="1"/>
        <v>1264628.641037126</v>
      </c>
      <c r="O38" s="112"/>
      <c r="P38" s="5">
        <f>'Main calculation'!C55</f>
        <v>2025</v>
      </c>
      <c r="Q38" s="96"/>
      <c r="R38" s="104"/>
      <c r="S38" s="96">
        <v>2000</v>
      </c>
      <c r="T38" s="97">
        <v>2.67</v>
      </c>
      <c r="U38" s="106">
        <v>150</v>
      </c>
      <c r="V38" s="93">
        <v>2.09</v>
      </c>
      <c r="W38" s="104">
        <v>17</v>
      </c>
      <c r="X38" s="96">
        <v>7000</v>
      </c>
      <c r="Y38" s="93">
        <v>1.5</v>
      </c>
      <c r="Z38" s="97">
        <v>1.2</v>
      </c>
      <c r="AA38" s="129">
        <f>'Main calculation'!$B$38</f>
        <v>300</v>
      </c>
      <c r="AB38" s="405">
        <f t="shared" si="0"/>
        <v>1276914.368067265</v>
      </c>
      <c r="AC38" s="157"/>
      <c r="AD38" s="4"/>
      <c r="AE38" s="4"/>
    </row>
    <row r="39" spans="1:31" ht="15">
      <c r="A39" s="256">
        <f>IF('Main calculation'!$B$36=2026,"Starting year --&gt;","")</f>
      </c>
      <c r="B39" s="5">
        <f>'Main calculation'!C56</f>
        <v>2026</v>
      </c>
      <c r="C39" s="96"/>
      <c r="D39" s="97"/>
      <c r="E39" s="96">
        <v>2000</v>
      </c>
      <c r="F39" s="97">
        <v>3.43</v>
      </c>
      <c r="G39" s="106">
        <v>150</v>
      </c>
      <c r="H39" s="93">
        <v>2.53</v>
      </c>
      <c r="I39" s="97">
        <v>17</v>
      </c>
      <c r="J39" s="106">
        <v>7000</v>
      </c>
      <c r="K39" s="93">
        <v>1.2</v>
      </c>
      <c r="L39" s="97">
        <v>1.2</v>
      </c>
      <c r="M39" s="129">
        <f>'Main calculation'!$B$38</f>
        <v>300</v>
      </c>
      <c r="N39" s="407">
        <f t="shared" si="1"/>
        <v>1264628.641037126</v>
      </c>
      <c r="O39" s="112"/>
      <c r="P39" s="5">
        <f>'Main calculation'!C56</f>
        <v>2026</v>
      </c>
      <c r="Q39" s="96"/>
      <c r="R39" s="104"/>
      <c r="S39" s="96">
        <v>2000</v>
      </c>
      <c r="T39" s="97">
        <v>2.67</v>
      </c>
      <c r="U39" s="106">
        <v>150</v>
      </c>
      <c r="V39" s="93">
        <v>2.09</v>
      </c>
      <c r="W39" s="104">
        <v>17</v>
      </c>
      <c r="X39" s="96">
        <v>7000</v>
      </c>
      <c r="Y39" s="93">
        <v>1.5</v>
      </c>
      <c r="Z39" s="97">
        <v>1.2</v>
      </c>
      <c r="AA39" s="129">
        <f>'Main calculation'!$B$38</f>
        <v>300</v>
      </c>
      <c r="AB39" s="405">
        <f t="shared" si="0"/>
        <v>1276914.368067265</v>
      </c>
      <c r="AC39" s="157"/>
      <c r="AD39" s="4"/>
      <c r="AE39" s="4"/>
    </row>
    <row r="40" spans="1:31" ht="15">
      <c r="A40" s="256">
        <f>IF('Main calculation'!$B$36=2027,"Starting year --&gt;","")</f>
      </c>
      <c r="B40" s="5">
        <f>'Main calculation'!C57</f>
        <v>2027</v>
      </c>
      <c r="C40" s="96"/>
      <c r="D40" s="97"/>
      <c r="E40" s="96">
        <v>2000</v>
      </c>
      <c r="F40" s="97">
        <v>3.43</v>
      </c>
      <c r="G40" s="106">
        <v>150</v>
      </c>
      <c r="H40" s="93">
        <v>2.53</v>
      </c>
      <c r="I40" s="97">
        <v>17</v>
      </c>
      <c r="J40" s="106">
        <v>7000</v>
      </c>
      <c r="K40" s="93">
        <v>1.2</v>
      </c>
      <c r="L40" s="97">
        <v>1.2</v>
      </c>
      <c r="M40" s="129">
        <f>'Main calculation'!$B$38</f>
        <v>300</v>
      </c>
      <c r="N40" s="407">
        <f t="shared" si="1"/>
        <v>1264628.641037126</v>
      </c>
      <c r="O40" s="112"/>
      <c r="P40" s="5">
        <f>'Main calculation'!C57</f>
        <v>2027</v>
      </c>
      <c r="Q40" s="96"/>
      <c r="R40" s="104"/>
      <c r="S40" s="96">
        <v>2000</v>
      </c>
      <c r="T40" s="97">
        <v>2.67</v>
      </c>
      <c r="U40" s="106">
        <v>150</v>
      </c>
      <c r="V40" s="93">
        <v>2.09</v>
      </c>
      <c r="W40" s="104">
        <v>17</v>
      </c>
      <c r="X40" s="96">
        <v>7000</v>
      </c>
      <c r="Y40" s="93">
        <v>1.5</v>
      </c>
      <c r="Z40" s="97">
        <v>1.2</v>
      </c>
      <c r="AA40" s="129">
        <f>'Main calculation'!$B$38</f>
        <v>300</v>
      </c>
      <c r="AB40" s="405">
        <f t="shared" si="0"/>
        <v>1276914.368067265</v>
      </c>
      <c r="AC40" s="157"/>
      <c r="AD40" s="4"/>
      <c r="AE40" s="4"/>
    </row>
    <row r="41" spans="1:31" ht="15">
      <c r="A41" s="256" t="str">
        <f>IF('Main calculation'!$B$37=2028,"Finishing year --&gt;","")</f>
        <v>Finishing year --&gt;</v>
      </c>
      <c r="B41" s="5">
        <f>'Main calculation'!C58</f>
        <v>2028</v>
      </c>
      <c r="C41" s="96"/>
      <c r="D41" s="97"/>
      <c r="E41" s="96">
        <v>2000</v>
      </c>
      <c r="F41" s="97">
        <v>3.43</v>
      </c>
      <c r="G41" s="106">
        <v>150</v>
      </c>
      <c r="H41" s="93">
        <v>2.53</v>
      </c>
      <c r="I41" s="97">
        <v>17</v>
      </c>
      <c r="J41" s="106">
        <v>7000</v>
      </c>
      <c r="K41" s="93">
        <v>1.2</v>
      </c>
      <c r="L41" s="97">
        <v>1.2</v>
      </c>
      <c r="M41" s="129">
        <f>'Main calculation'!$B$38</f>
        <v>300</v>
      </c>
      <c r="N41" s="407">
        <f t="shared" si="1"/>
        <v>1264628.641037126</v>
      </c>
      <c r="O41" s="112"/>
      <c r="P41" s="5">
        <f>'Main calculation'!C58</f>
        <v>2028</v>
      </c>
      <c r="Q41" s="96"/>
      <c r="R41" s="104"/>
      <c r="S41" s="96">
        <v>2000</v>
      </c>
      <c r="T41" s="97">
        <v>2.67</v>
      </c>
      <c r="U41" s="106">
        <v>150</v>
      </c>
      <c r="V41" s="93">
        <v>2.09</v>
      </c>
      <c r="W41" s="104">
        <v>17</v>
      </c>
      <c r="X41" s="96">
        <v>7000</v>
      </c>
      <c r="Y41" s="93">
        <v>1.5</v>
      </c>
      <c r="Z41" s="97">
        <v>1.2</v>
      </c>
      <c r="AA41" s="129">
        <f>'Main calculation'!$B$38</f>
        <v>300</v>
      </c>
      <c r="AB41" s="405">
        <f t="shared" si="0"/>
        <v>1276914.368067265</v>
      </c>
      <c r="AC41" s="157"/>
      <c r="AD41" s="4"/>
      <c r="AE41" s="4"/>
    </row>
    <row r="42" spans="1:31" ht="15">
      <c r="A42" s="256">
        <f>IF('Main calculation'!$B$37=2029,"Finishing year --&gt;","")</f>
      </c>
      <c r="B42" s="5">
        <f>'Main calculation'!C59</f>
        <v>2029</v>
      </c>
      <c r="C42" s="96"/>
      <c r="D42" s="97"/>
      <c r="E42" s="96"/>
      <c r="F42" s="97"/>
      <c r="G42" s="106"/>
      <c r="H42" s="93"/>
      <c r="I42" s="97"/>
      <c r="J42" s="106"/>
      <c r="K42" s="93"/>
      <c r="L42" s="97"/>
      <c r="M42" s="129">
        <f>'Main calculation'!$B$38</f>
        <v>300</v>
      </c>
      <c r="N42" s="406">
        <f aca="true" t="shared" si="2" ref="N28:N43">(C42*D42*$D$20+E42*F42*$D$18+G42*H42*I42*$D$15+J42*K42*L42*$D$14)*M42*60</f>
        <v>0</v>
      </c>
      <c r="O42" s="112"/>
      <c r="P42" s="5">
        <f>'Main calculation'!C59</f>
        <v>2029</v>
      </c>
      <c r="Q42" s="96"/>
      <c r="R42" s="104"/>
      <c r="S42" s="96"/>
      <c r="T42" s="97"/>
      <c r="U42" s="106"/>
      <c r="V42" s="93"/>
      <c r="W42" s="104"/>
      <c r="X42" s="96"/>
      <c r="Y42" s="93"/>
      <c r="Z42" s="97"/>
      <c r="AA42" s="129">
        <f>'Main calculation'!$B$38</f>
        <v>300</v>
      </c>
      <c r="AB42" s="405">
        <f aca="true" t="shared" si="3" ref="AB28:AB43">($D$20*Q42*R42+$D$18*S42*T42+$D$15*U42*V42*W42+$D$14*X42*Y42*Z42)*AA42*60</f>
        <v>0</v>
      </c>
      <c r="AC42" s="157"/>
      <c r="AD42" s="4"/>
      <c r="AE42" s="4"/>
    </row>
    <row r="43" spans="1:31" ht="15">
      <c r="A43" s="256">
        <f>IF('Main calculation'!$B$37=2030,"Finishing year --&gt;","")</f>
      </c>
      <c r="B43" s="5">
        <f>'Main calculation'!C60</f>
        <v>2030</v>
      </c>
      <c r="C43" s="108"/>
      <c r="D43" s="100"/>
      <c r="E43" s="108"/>
      <c r="F43" s="100"/>
      <c r="G43" s="107"/>
      <c r="H43" s="99"/>
      <c r="I43" s="100"/>
      <c r="J43" s="107"/>
      <c r="K43" s="99"/>
      <c r="L43" s="100"/>
      <c r="M43" s="129">
        <f>'Main calculation'!$B$38</f>
        <v>300</v>
      </c>
      <c r="N43" s="407">
        <f t="shared" si="2"/>
        <v>0</v>
      </c>
      <c r="O43" s="113"/>
      <c r="P43" s="5">
        <f>'Main calculation'!C60</f>
        <v>2030</v>
      </c>
      <c r="Q43" s="98"/>
      <c r="R43" s="105"/>
      <c r="S43" s="108"/>
      <c r="T43" s="100"/>
      <c r="U43" s="107"/>
      <c r="V43" s="99"/>
      <c r="W43" s="105"/>
      <c r="X43" s="108"/>
      <c r="Y43" s="99"/>
      <c r="Z43" s="100"/>
      <c r="AA43" s="131">
        <f>'Main calculation'!$B$38</f>
        <v>300</v>
      </c>
      <c r="AB43" s="405">
        <f t="shared" si="3"/>
        <v>0</v>
      </c>
      <c r="AC43" s="157"/>
      <c r="AD43" s="4"/>
      <c r="AE43" s="4"/>
    </row>
    <row r="44" ht="15">
      <c r="A44" s="256">
        <f>IF('Main calculation'!$B$37=2031,"Finishing year --&gt;","")</f>
      </c>
    </row>
    <row r="45" ht="15">
      <c r="A45" s="256">
        <f>IF('Main calculation'!$B$37=2032,"Finishing year --&gt;","")</f>
      </c>
    </row>
    <row r="46" ht="15">
      <c r="A46" s="256">
        <f>IF('Main calculation'!$B$37=2033,"Finishing year --&gt;","")</f>
      </c>
    </row>
  </sheetData>
  <sheetProtection/>
  <mergeCells count="1">
    <mergeCell ref="A2:G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59"/>
  <sheetViews>
    <sheetView zoomScale="85" zoomScaleNormal="85" zoomScalePageLayoutView="0" workbookViewId="0" topLeftCell="A11">
      <selection activeCell="L36" sqref="L36"/>
    </sheetView>
  </sheetViews>
  <sheetFormatPr defaultColWidth="9.140625" defaultRowHeight="15"/>
  <cols>
    <col min="1" max="1" width="17.8515625" style="0" customWidth="1"/>
    <col min="2" max="2" width="13.57421875" style="0" customWidth="1"/>
    <col min="3" max="3" width="15.421875" style="0" customWidth="1"/>
    <col min="4" max="4" width="12.421875" style="0" customWidth="1"/>
    <col min="5" max="5" width="11.140625" style="0" customWidth="1"/>
    <col min="6" max="7" width="12.8515625" style="0" customWidth="1"/>
    <col min="8" max="8" width="11.7109375" style="0" customWidth="1"/>
    <col min="9" max="9" width="12.00390625" style="0" customWidth="1"/>
    <col min="10" max="10" width="9.8515625" style="0" customWidth="1"/>
    <col min="11" max="11" width="5.28125" style="0" customWidth="1"/>
    <col min="12" max="12" width="15.57421875" style="0" customWidth="1"/>
    <col min="13" max="13" width="16.00390625" style="0" customWidth="1"/>
    <col min="14" max="14" width="12.140625" style="0" customWidth="1"/>
    <col min="15" max="15" width="11.140625" style="0" customWidth="1"/>
    <col min="16" max="16" width="14.28125" style="0" customWidth="1"/>
    <col min="17" max="17" width="13.140625" style="0" customWidth="1"/>
    <col min="18" max="18" width="12.00390625" style="0" customWidth="1"/>
    <col min="19" max="19" width="12.140625" style="0" customWidth="1"/>
  </cols>
  <sheetData>
    <row r="1" ht="18.75">
      <c r="A1" s="159" t="s">
        <v>260</v>
      </c>
    </row>
    <row r="2" ht="15">
      <c r="A2" s="162" t="s">
        <v>263</v>
      </c>
    </row>
    <row r="3" spans="1:8" ht="31.5" customHeight="1">
      <c r="A3" s="417" t="s">
        <v>284</v>
      </c>
      <c r="B3" s="417"/>
      <c r="C3" s="417"/>
      <c r="D3" s="417"/>
      <c r="E3" s="417"/>
      <c r="F3" s="417"/>
      <c r="G3" s="163"/>
      <c r="H3" s="163"/>
    </row>
    <row r="4" spans="1:8" ht="15">
      <c r="A4" s="348"/>
      <c r="B4" s="348"/>
      <c r="C4" s="348"/>
      <c r="D4" s="348"/>
      <c r="E4" s="348"/>
      <c r="F4" s="348"/>
      <c r="G4" s="348"/>
      <c r="H4" s="348"/>
    </row>
    <row r="5" ht="15">
      <c r="A5" s="162" t="s">
        <v>247</v>
      </c>
    </row>
    <row r="6" ht="15">
      <c r="A6" s="255" t="s">
        <v>282</v>
      </c>
    </row>
    <row r="7" spans="1:6" ht="30" customHeight="1">
      <c r="A7" s="418" t="s">
        <v>283</v>
      </c>
      <c r="B7" s="418"/>
      <c r="C7" s="418"/>
      <c r="D7" s="418"/>
      <c r="E7" s="418"/>
      <c r="F7" s="418"/>
    </row>
    <row r="8" ht="15">
      <c r="A8" s="255" t="s">
        <v>285</v>
      </c>
    </row>
    <row r="9" ht="15">
      <c r="A9" s="162"/>
    </row>
    <row r="10" ht="15">
      <c r="A10" s="390" t="s">
        <v>259</v>
      </c>
    </row>
    <row r="11" spans="1:7" ht="15">
      <c r="A11" s="423" t="s">
        <v>209</v>
      </c>
      <c r="B11" s="423"/>
      <c r="C11" s="423"/>
      <c r="D11" s="423"/>
      <c r="E11" s="423"/>
      <c r="F11" s="423"/>
      <c r="G11" s="423"/>
    </row>
    <row r="12" spans="8:16" ht="15">
      <c r="H12" s="158"/>
      <c r="I12" s="158"/>
      <c r="J12" s="158"/>
      <c r="K12" s="158"/>
      <c r="L12" s="158"/>
      <c r="M12" s="158"/>
      <c r="N12" s="158"/>
      <c r="O12" s="158"/>
      <c r="P12" s="158"/>
    </row>
    <row r="13" spans="1:20" ht="18.75">
      <c r="A13" s="173"/>
      <c r="B13" s="389" t="s">
        <v>1</v>
      </c>
      <c r="C13" s="334"/>
      <c r="D13" s="334"/>
      <c r="E13" s="334"/>
      <c r="F13" s="334"/>
      <c r="G13" s="334"/>
      <c r="H13" s="334"/>
      <c r="I13" s="334"/>
      <c r="J13" s="338"/>
      <c r="K13" s="109"/>
      <c r="L13" s="341" t="s">
        <v>2</v>
      </c>
      <c r="M13" s="335"/>
      <c r="N13" s="335"/>
      <c r="O13" s="335"/>
      <c r="P13" s="335"/>
      <c r="Q13" s="335"/>
      <c r="R13" s="335"/>
      <c r="S13" s="335"/>
      <c r="T13" s="335"/>
    </row>
    <row r="14" spans="2:20" ht="60">
      <c r="B14" s="92" t="s">
        <v>0</v>
      </c>
      <c r="C14" s="336" t="s">
        <v>111</v>
      </c>
      <c r="D14" s="336" t="s">
        <v>112</v>
      </c>
      <c r="E14" s="336" t="s">
        <v>215</v>
      </c>
      <c r="F14" s="336" t="s">
        <v>216</v>
      </c>
      <c r="G14" s="336" t="s">
        <v>217</v>
      </c>
      <c r="H14" s="336" t="s">
        <v>218</v>
      </c>
      <c r="I14" s="336" t="s">
        <v>219</v>
      </c>
      <c r="J14" s="339" t="s">
        <v>127</v>
      </c>
      <c r="K14" s="302"/>
      <c r="L14" s="342" t="s">
        <v>0</v>
      </c>
      <c r="M14" s="336" t="s">
        <v>111</v>
      </c>
      <c r="N14" s="336" t="s">
        <v>112</v>
      </c>
      <c r="O14" s="336" t="s">
        <v>215</v>
      </c>
      <c r="P14" s="336" t="s">
        <v>216</v>
      </c>
      <c r="Q14" s="336" t="s">
        <v>217</v>
      </c>
      <c r="R14" s="336" t="s">
        <v>218</v>
      </c>
      <c r="S14" s="336" t="s">
        <v>219</v>
      </c>
      <c r="T14" s="336" t="s">
        <v>127</v>
      </c>
    </row>
    <row r="15" spans="1:20" ht="15">
      <c r="A15" s="256">
        <f>IF('Main calculation'!$B$36=2013,"Starting year --&gt;","")</f>
      </c>
      <c r="B15" s="92">
        <f>'Main calculation'!C43</f>
        <v>2013</v>
      </c>
      <c r="C15" s="93"/>
      <c r="D15" s="93"/>
      <c r="E15" s="93"/>
      <c r="F15" s="93"/>
      <c r="G15" s="93"/>
      <c r="H15" s="93"/>
      <c r="I15" s="93"/>
      <c r="J15" s="340">
        <f>C15*D15*(E15+F15+G15+H15+I15)</f>
        <v>0</v>
      </c>
      <c r="K15" s="302"/>
      <c r="L15" s="155">
        <f>'Main calculation'!C43</f>
        <v>2013</v>
      </c>
      <c r="M15" s="93"/>
      <c r="N15" s="93"/>
      <c r="O15" s="93"/>
      <c r="P15" s="93"/>
      <c r="Q15" s="93"/>
      <c r="R15" s="93"/>
      <c r="S15" s="93"/>
      <c r="T15" s="111">
        <f>M15*N15*(O15+P15+Q15+R15+S15)</f>
        <v>0</v>
      </c>
    </row>
    <row r="16" spans="1:20" ht="15">
      <c r="A16" s="256" t="str">
        <f>IF('Main calculation'!$B$36=2014,"Starting year --&gt;","")</f>
        <v>Starting year --&gt;</v>
      </c>
      <c r="B16" s="92">
        <f>'Main calculation'!C44</f>
        <v>2014</v>
      </c>
      <c r="C16" s="93"/>
      <c r="D16" s="93"/>
      <c r="E16" s="93"/>
      <c r="F16" s="93"/>
      <c r="G16" s="93"/>
      <c r="H16" s="93"/>
      <c r="I16" s="93"/>
      <c r="J16" s="340">
        <f>C16*D16*(E16+F16+G16+H16+I16)</f>
        <v>0</v>
      </c>
      <c r="K16" s="302"/>
      <c r="L16" s="155">
        <f>'Main calculation'!C44</f>
        <v>2014</v>
      </c>
      <c r="M16" s="93"/>
      <c r="N16" s="93"/>
      <c r="O16" s="93"/>
      <c r="P16" s="93"/>
      <c r="Q16" s="93"/>
      <c r="R16" s="93"/>
      <c r="S16" s="93"/>
      <c r="T16" s="111">
        <f>M16*N16*(O16+P16+Q16+R16+S16)</f>
        <v>0</v>
      </c>
    </row>
    <row r="17" spans="1:20" ht="15">
      <c r="A17" s="256">
        <f>IF('Main calculation'!$B$36=2015,"Starting year --&gt;","")</f>
      </c>
      <c r="B17" s="92">
        <f>'Main calculation'!C45</f>
        <v>2015</v>
      </c>
      <c r="C17" s="93"/>
      <c r="D17" s="93"/>
      <c r="E17" s="93"/>
      <c r="F17" s="93"/>
      <c r="G17" s="93"/>
      <c r="H17" s="93"/>
      <c r="I17" s="93"/>
      <c r="J17" s="340">
        <f aca="true" t="shared" si="0" ref="J17:J32">C17*D17*(E17+F17+G17+H17+I17)</f>
        <v>0</v>
      </c>
      <c r="K17" s="112"/>
      <c r="L17" s="155">
        <f>'Main calculation'!C45</f>
        <v>2015</v>
      </c>
      <c r="M17" s="93"/>
      <c r="N17" s="93"/>
      <c r="O17" s="93"/>
      <c r="P17" s="93"/>
      <c r="Q17" s="93"/>
      <c r="R17" s="93"/>
      <c r="S17" s="93"/>
      <c r="T17" s="111">
        <f aca="true" t="shared" si="1" ref="T17:T32">M17*N17*(O17+P17+Q17+R17+S17)</f>
        <v>0</v>
      </c>
    </row>
    <row r="18" spans="1:20" ht="15">
      <c r="A18" s="256">
        <f>IF('Main calculation'!$B$36=2016,"Starting year --&gt;","")</f>
      </c>
      <c r="B18" s="92">
        <f>'Main calculation'!C46</f>
        <v>2016</v>
      </c>
      <c r="C18" s="93"/>
      <c r="D18" s="93"/>
      <c r="E18" s="93"/>
      <c r="F18" s="93"/>
      <c r="G18" s="93"/>
      <c r="H18" s="93"/>
      <c r="I18" s="93"/>
      <c r="J18" s="340">
        <f t="shared" si="0"/>
        <v>0</v>
      </c>
      <c r="K18" s="112"/>
      <c r="L18" s="155">
        <f>'Main calculation'!C46</f>
        <v>2016</v>
      </c>
      <c r="M18" s="93"/>
      <c r="N18" s="93"/>
      <c r="O18" s="93"/>
      <c r="P18" s="93"/>
      <c r="Q18" s="93"/>
      <c r="R18" s="93"/>
      <c r="S18" s="93"/>
      <c r="T18" s="111">
        <f t="shared" si="1"/>
        <v>0</v>
      </c>
    </row>
    <row r="19" spans="1:20" ht="15">
      <c r="A19" s="256">
        <f>IF('Main calculation'!$B$36=2017,"Starting year --&gt;","")</f>
      </c>
      <c r="B19" s="92">
        <f>'Main calculation'!C47</f>
        <v>2017</v>
      </c>
      <c r="C19" s="93"/>
      <c r="D19" s="93"/>
      <c r="E19" s="93"/>
      <c r="F19" s="93"/>
      <c r="G19" s="93"/>
      <c r="H19" s="93"/>
      <c r="I19" s="93"/>
      <c r="J19" s="340">
        <f t="shared" si="0"/>
        <v>0</v>
      </c>
      <c r="K19" s="112"/>
      <c r="L19" s="155">
        <f>'Main calculation'!C47</f>
        <v>2017</v>
      </c>
      <c r="M19" s="93"/>
      <c r="N19" s="93"/>
      <c r="O19" s="93"/>
      <c r="P19" s="93"/>
      <c r="Q19" s="93"/>
      <c r="R19" s="93"/>
      <c r="S19" s="93"/>
      <c r="T19" s="111">
        <f t="shared" si="1"/>
        <v>0</v>
      </c>
    </row>
    <row r="20" spans="1:20" ht="15">
      <c r="A20" s="256">
        <f>IF('Main calculation'!$B$36=2018,"Starting year --&gt;","")</f>
      </c>
      <c r="B20" s="92">
        <f>'Main calculation'!C48</f>
        <v>2018</v>
      </c>
      <c r="C20" s="93"/>
      <c r="D20" s="93"/>
      <c r="E20" s="93"/>
      <c r="F20" s="93"/>
      <c r="G20" s="93"/>
      <c r="H20" s="93"/>
      <c r="I20" s="93"/>
      <c r="J20" s="340">
        <f t="shared" si="0"/>
        <v>0</v>
      </c>
      <c r="K20" s="112"/>
      <c r="L20" s="155">
        <f>'Main calculation'!C48</f>
        <v>2018</v>
      </c>
      <c r="M20" s="93"/>
      <c r="N20" s="93"/>
      <c r="O20" s="93"/>
      <c r="P20" s="93"/>
      <c r="Q20" s="93"/>
      <c r="R20" s="93"/>
      <c r="S20" s="93"/>
      <c r="T20" s="111">
        <f t="shared" si="1"/>
        <v>0</v>
      </c>
    </row>
    <row r="21" spans="1:20" ht="15">
      <c r="A21" s="256">
        <f>IF('Main calculation'!$B$36=2019,"Starting year --&gt;","")</f>
      </c>
      <c r="B21" s="92">
        <f>'Main calculation'!C49</f>
        <v>2019</v>
      </c>
      <c r="C21" s="93"/>
      <c r="D21" s="93"/>
      <c r="E21" s="93"/>
      <c r="F21" s="93"/>
      <c r="G21" s="93"/>
      <c r="H21" s="93"/>
      <c r="I21" s="93"/>
      <c r="J21" s="340">
        <f t="shared" si="0"/>
        <v>0</v>
      </c>
      <c r="K21" s="112"/>
      <c r="L21" s="155">
        <f>'Main calculation'!C49</f>
        <v>2019</v>
      </c>
      <c r="M21" s="93"/>
      <c r="N21" s="93"/>
      <c r="O21" s="93"/>
      <c r="P21" s="93"/>
      <c r="Q21" s="93"/>
      <c r="R21" s="93"/>
      <c r="S21" s="93"/>
      <c r="T21" s="111">
        <f t="shared" si="1"/>
        <v>0</v>
      </c>
    </row>
    <row r="22" spans="1:20" ht="15">
      <c r="A22" s="256">
        <f>IF('Main calculation'!$B$36=2020,"Starting year --&gt;","")</f>
      </c>
      <c r="B22" s="92">
        <f>'Main calculation'!C50</f>
        <v>2020</v>
      </c>
      <c r="C22" s="93"/>
      <c r="D22" s="93"/>
      <c r="E22" s="93"/>
      <c r="F22" s="93"/>
      <c r="G22" s="93"/>
      <c r="H22" s="93"/>
      <c r="I22" s="93"/>
      <c r="J22" s="340">
        <f t="shared" si="0"/>
        <v>0</v>
      </c>
      <c r="K22" s="112"/>
      <c r="L22" s="155">
        <f>'Main calculation'!C50</f>
        <v>2020</v>
      </c>
      <c r="M22" s="93"/>
      <c r="N22" s="93"/>
      <c r="O22" s="93"/>
      <c r="P22" s="93"/>
      <c r="Q22" s="93"/>
      <c r="R22" s="93"/>
      <c r="S22" s="93"/>
      <c r="T22" s="111">
        <f t="shared" si="1"/>
        <v>0</v>
      </c>
    </row>
    <row r="23" spans="1:20" ht="15">
      <c r="A23" s="256">
        <f>IF('Main calculation'!$B$36=2021,"Starting year --&gt;","")</f>
      </c>
      <c r="B23" s="92">
        <f>'Main calculation'!C51</f>
        <v>2021</v>
      </c>
      <c r="C23" s="93"/>
      <c r="D23" s="93"/>
      <c r="E23" s="93"/>
      <c r="F23" s="93"/>
      <c r="G23" s="93"/>
      <c r="H23" s="93"/>
      <c r="I23" s="93"/>
      <c r="J23" s="340">
        <f t="shared" si="0"/>
        <v>0</v>
      </c>
      <c r="K23" s="112"/>
      <c r="L23" s="155">
        <f>'Main calculation'!C51</f>
        <v>2021</v>
      </c>
      <c r="M23" s="93"/>
      <c r="N23" s="93"/>
      <c r="O23" s="93"/>
      <c r="P23" s="93"/>
      <c r="Q23" s="93"/>
      <c r="R23" s="93"/>
      <c r="S23" s="93"/>
      <c r="T23" s="111">
        <f t="shared" si="1"/>
        <v>0</v>
      </c>
    </row>
    <row r="24" spans="1:20" ht="15">
      <c r="A24" s="256">
        <f>IF('Main calculation'!$B$36=2022,"Starting year --&gt;","")</f>
      </c>
      <c r="B24" s="92">
        <f>'Main calculation'!C52</f>
        <v>2022</v>
      </c>
      <c r="C24" s="93"/>
      <c r="D24" s="93"/>
      <c r="E24" s="93"/>
      <c r="F24" s="93"/>
      <c r="G24" s="93"/>
      <c r="H24" s="93"/>
      <c r="I24" s="93"/>
      <c r="J24" s="340">
        <f t="shared" si="0"/>
        <v>0</v>
      </c>
      <c r="K24" s="112"/>
      <c r="L24" s="155">
        <f>'Main calculation'!C52</f>
        <v>2022</v>
      </c>
      <c r="M24" s="93"/>
      <c r="N24" s="93"/>
      <c r="O24" s="93"/>
      <c r="P24" s="93"/>
      <c r="Q24" s="93"/>
      <c r="R24" s="93"/>
      <c r="S24" s="93"/>
      <c r="T24" s="111">
        <f t="shared" si="1"/>
        <v>0</v>
      </c>
    </row>
    <row r="25" spans="1:20" ht="15">
      <c r="A25" s="256">
        <f>IF('Main calculation'!$B$36=2023,"Starting year --&gt;","")</f>
      </c>
      <c r="B25" s="92">
        <f>'Main calculation'!C53</f>
        <v>2023</v>
      </c>
      <c r="C25" s="93"/>
      <c r="D25" s="93"/>
      <c r="E25" s="93"/>
      <c r="F25" s="93"/>
      <c r="G25" s="93"/>
      <c r="H25" s="93"/>
      <c r="I25" s="93"/>
      <c r="J25" s="340">
        <f t="shared" si="0"/>
        <v>0</v>
      </c>
      <c r="K25" s="112"/>
      <c r="L25" s="155">
        <f>'Main calculation'!C53</f>
        <v>2023</v>
      </c>
      <c r="M25" s="93"/>
      <c r="N25" s="93"/>
      <c r="O25" s="93"/>
      <c r="P25" s="93"/>
      <c r="Q25" s="93"/>
      <c r="R25" s="93"/>
      <c r="S25" s="93"/>
      <c r="T25" s="111">
        <f t="shared" si="1"/>
        <v>0</v>
      </c>
    </row>
    <row r="26" spans="1:20" ht="15">
      <c r="A26" s="256">
        <f>IF('Main calculation'!$B$36=2024,"Starting year --&gt;","")</f>
      </c>
      <c r="B26" s="92">
        <f>'Main calculation'!C54</f>
        <v>2024</v>
      </c>
      <c r="C26" s="93"/>
      <c r="D26" s="93"/>
      <c r="E26" s="93"/>
      <c r="F26" s="93"/>
      <c r="G26" s="93"/>
      <c r="H26" s="93"/>
      <c r="I26" s="93"/>
      <c r="J26" s="340">
        <f t="shared" si="0"/>
        <v>0</v>
      </c>
      <c r="K26" s="112"/>
      <c r="L26" s="155">
        <f>'Main calculation'!C54</f>
        <v>2024</v>
      </c>
      <c r="M26" s="93"/>
      <c r="N26" s="93"/>
      <c r="O26" s="93"/>
      <c r="P26" s="93"/>
      <c r="Q26" s="93"/>
      <c r="R26" s="93"/>
      <c r="S26" s="93"/>
      <c r="T26" s="111">
        <f t="shared" si="1"/>
        <v>0</v>
      </c>
    </row>
    <row r="27" spans="1:20" ht="15">
      <c r="A27" s="256">
        <f>IF('Main calculation'!$B$36=2025,"Starting year --&gt;","")</f>
      </c>
      <c r="B27" s="92">
        <f>'Main calculation'!C55</f>
        <v>2025</v>
      </c>
      <c r="C27" s="93"/>
      <c r="D27" s="93"/>
      <c r="E27" s="93"/>
      <c r="F27" s="93"/>
      <c r="G27" s="93"/>
      <c r="H27" s="93"/>
      <c r="I27" s="93"/>
      <c r="J27" s="340">
        <f t="shared" si="0"/>
        <v>0</v>
      </c>
      <c r="K27" s="112"/>
      <c r="L27" s="155">
        <f>'Main calculation'!C55</f>
        <v>2025</v>
      </c>
      <c r="M27" s="93"/>
      <c r="N27" s="93"/>
      <c r="O27" s="93"/>
      <c r="P27" s="93"/>
      <c r="Q27" s="93"/>
      <c r="R27" s="93"/>
      <c r="S27" s="93"/>
      <c r="T27" s="111">
        <f t="shared" si="1"/>
        <v>0</v>
      </c>
    </row>
    <row r="28" spans="1:20" ht="15">
      <c r="A28" s="256">
        <f>IF('Main calculation'!$B$36=2026,"Starting year --&gt;","")</f>
      </c>
      <c r="B28" s="92">
        <f>'Main calculation'!C56</f>
        <v>2026</v>
      </c>
      <c r="C28" s="93"/>
      <c r="D28" s="93"/>
      <c r="E28" s="93"/>
      <c r="F28" s="93"/>
      <c r="G28" s="93"/>
      <c r="H28" s="93"/>
      <c r="I28" s="93"/>
      <c r="J28" s="340">
        <f t="shared" si="0"/>
        <v>0</v>
      </c>
      <c r="K28" s="112"/>
      <c r="L28" s="155">
        <f>'Main calculation'!C56</f>
        <v>2026</v>
      </c>
      <c r="M28" s="93"/>
      <c r="N28" s="93"/>
      <c r="O28" s="93"/>
      <c r="P28" s="93"/>
      <c r="Q28" s="93"/>
      <c r="R28" s="93"/>
      <c r="S28" s="93"/>
      <c r="T28" s="111">
        <f t="shared" si="1"/>
        <v>0</v>
      </c>
    </row>
    <row r="29" spans="1:20" ht="15">
      <c r="A29" s="256">
        <f>IF('Main calculation'!$B$36=2027,"Starting year --&gt;","")</f>
      </c>
      <c r="B29" s="92">
        <f>'Main calculation'!C57</f>
        <v>2027</v>
      </c>
      <c r="C29" s="93"/>
      <c r="D29" s="93"/>
      <c r="E29" s="93"/>
      <c r="F29" s="93"/>
      <c r="G29" s="93"/>
      <c r="H29" s="93"/>
      <c r="I29" s="93"/>
      <c r="J29" s="340">
        <f t="shared" si="0"/>
        <v>0</v>
      </c>
      <c r="K29" s="112"/>
      <c r="L29" s="155">
        <f>'Main calculation'!C57</f>
        <v>2027</v>
      </c>
      <c r="M29" s="93"/>
      <c r="N29" s="93"/>
      <c r="O29" s="93"/>
      <c r="P29" s="93"/>
      <c r="Q29" s="93"/>
      <c r="R29" s="93"/>
      <c r="S29" s="93"/>
      <c r="T29" s="111">
        <f t="shared" si="1"/>
        <v>0</v>
      </c>
    </row>
    <row r="30" spans="1:20" ht="15">
      <c r="A30" s="256" t="str">
        <f>IF('Main calculation'!$B$37=2028,"Finishing year --&gt;","")</f>
        <v>Finishing year --&gt;</v>
      </c>
      <c r="B30" s="92">
        <f>'Main calculation'!C58</f>
        <v>2028</v>
      </c>
      <c r="C30" s="93"/>
      <c r="D30" s="93"/>
      <c r="E30" s="93"/>
      <c r="F30" s="93"/>
      <c r="G30" s="93"/>
      <c r="H30" s="93"/>
      <c r="I30" s="93"/>
      <c r="J30" s="340">
        <f t="shared" si="0"/>
        <v>0</v>
      </c>
      <c r="K30" s="112"/>
      <c r="L30" s="155">
        <f>'Main calculation'!C58</f>
        <v>2028</v>
      </c>
      <c r="M30" s="93"/>
      <c r="N30" s="93"/>
      <c r="O30" s="93"/>
      <c r="P30" s="93"/>
      <c r="Q30" s="93"/>
      <c r="R30" s="93"/>
      <c r="S30" s="93"/>
      <c r="T30" s="111">
        <f t="shared" si="1"/>
        <v>0</v>
      </c>
    </row>
    <row r="31" spans="1:20" ht="15">
      <c r="A31" s="256">
        <f>IF('Main calculation'!$B$37=2029,"Finishing year --&gt;","")</f>
      </c>
      <c r="B31" s="92">
        <f>'Main calculation'!C59</f>
        <v>2029</v>
      </c>
      <c r="C31" s="93"/>
      <c r="D31" s="93"/>
      <c r="E31" s="93"/>
      <c r="F31" s="93"/>
      <c r="G31" s="93"/>
      <c r="H31" s="93"/>
      <c r="I31" s="93"/>
      <c r="J31" s="340">
        <f t="shared" si="0"/>
        <v>0</v>
      </c>
      <c r="K31" s="112"/>
      <c r="L31" s="155">
        <f>'Main calculation'!C59</f>
        <v>2029</v>
      </c>
      <c r="M31" s="93"/>
      <c r="N31" s="93"/>
      <c r="O31" s="93"/>
      <c r="P31" s="93"/>
      <c r="Q31" s="93"/>
      <c r="R31" s="93"/>
      <c r="S31" s="93"/>
      <c r="T31" s="111">
        <f t="shared" si="1"/>
        <v>0</v>
      </c>
    </row>
    <row r="32" spans="1:20" ht="15">
      <c r="A32" s="256">
        <f>IF('Main calculation'!$B$37=2030,"Finishing year --&gt;","")</f>
      </c>
      <c r="B32" s="92">
        <f>'Main calculation'!C60</f>
        <v>2030</v>
      </c>
      <c r="C32" s="93"/>
      <c r="D32" s="93"/>
      <c r="E32" s="93"/>
      <c r="F32" s="93"/>
      <c r="G32" s="93"/>
      <c r="H32" s="93"/>
      <c r="I32" s="93"/>
      <c r="J32" s="340">
        <f t="shared" si="0"/>
        <v>0</v>
      </c>
      <c r="K32" s="112"/>
      <c r="L32" s="155">
        <f>'Main calculation'!C60</f>
        <v>2030</v>
      </c>
      <c r="M32" s="93"/>
      <c r="N32" s="93"/>
      <c r="O32" s="93"/>
      <c r="P32" s="93"/>
      <c r="Q32" s="93"/>
      <c r="R32" s="93"/>
      <c r="S32" s="93"/>
      <c r="T32" s="111">
        <f t="shared" si="1"/>
        <v>0</v>
      </c>
    </row>
    <row r="33" ht="15">
      <c r="A33" s="256">
        <f>IF('Main calculation'!$B$37=2031,"Finishing year --&gt;","")</f>
      </c>
    </row>
    <row r="34" s="5" customFormat="1" ht="15">
      <c r="A34" s="256">
        <f>IF('Main calculation'!$B$37=2032,"Finishing year --&gt;","")</f>
      </c>
    </row>
    <row r="35" spans="1:2" ht="15">
      <c r="A35" s="256">
        <f>IF('Main calculation'!$B$37=2033,"Finishing year --&gt;","")</f>
      </c>
      <c r="B35" s="162"/>
    </row>
    <row r="36" ht="15">
      <c r="A36" s="256"/>
    </row>
    <row r="38" spans="1:9" ht="15">
      <c r="A38" s="165"/>
      <c r="B38" s="165"/>
      <c r="C38" s="165"/>
      <c r="D38" s="165"/>
      <c r="E38" s="165"/>
      <c r="F38" s="165"/>
      <c r="G38" s="165"/>
      <c r="H38" s="165"/>
      <c r="I38" s="165"/>
    </row>
    <row r="39" spans="1:9" ht="15">
      <c r="A39" s="165"/>
      <c r="B39" s="260"/>
      <c r="C39" s="165"/>
      <c r="D39" s="165"/>
      <c r="E39" s="165"/>
      <c r="F39" s="165"/>
      <c r="G39" s="165"/>
      <c r="H39" s="165"/>
      <c r="I39" s="165"/>
    </row>
    <row r="40" spans="1:9" ht="15">
      <c r="A40" s="165"/>
      <c r="B40" s="260"/>
      <c r="C40" s="165"/>
      <c r="D40" s="165"/>
      <c r="E40" s="165"/>
      <c r="F40" s="165"/>
      <c r="G40" s="165"/>
      <c r="H40" s="165"/>
      <c r="I40" s="165"/>
    </row>
    <row r="41" spans="1:9" ht="18.75">
      <c r="A41" s="261"/>
      <c r="B41" s="262"/>
      <c r="C41" s="262"/>
      <c r="D41" s="262"/>
      <c r="E41" s="165"/>
      <c r="F41" s="261"/>
      <c r="G41" s="262"/>
      <c r="H41" s="262"/>
      <c r="I41" s="262"/>
    </row>
    <row r="42" spans="1:9" ht="15">
      <c r="A42" s="165"/>
      <c r="B42" s="263"/>
      <c r="C42" s="263"/>
      <c r="D42" s="263"/>
      <c r="E42" s="264"/>
      <c r="F42" s="264"/>
      <c r="G42" s="263"/>
      <c r="H42" s="263"/>
      <c r="I42" s="263"/>
    </row>
    <row r="43" spans="1:9" ht="15">
      <c r="A43" s="165"/>
      <c r="B43" s="164"/>
      <c r="C43" s="164"/>
      <c r="D43" s="265"/>
      <c r="E43" s="164"/>
      <c r="F43" s="165"/>
      <c r="G43" s="164"/>
      <c r="H43" s="164"/>
      <c r="I43" s="265"/>
    </row>
    <row r="44" spans="1:9" ht="15">
      <c r="A44" s="165"/>
      <c r="B44" s="164"/>
      <c r="C44" s="164"/>
      <c r="D44" s="265"/>
      <c r="E44" s="164"/>
      <c r="F44" s="165"/>
      <c r="G44" s="164"/>
      <c r="H44" s="164"/>
      <c r="I44" s="265"/>
    </row>
    <row r="45" spans="1:9" ht="15">
      <c r="A45" s="165"/>
      <c r="B45" s="164"/>
      <c r="C45" s="164"/>
      <c r="D45" s="265"/>
      <c r="E45" s="164"/>
      <c r="F45" s="165"/>
      <c r="G45" s="164"/>
      <c r="H45" s="164"/>
      <c r="I45" s="265"/>
    </row>
    <row r="46" spans="1:9" ht="15">
      <c r="A46" s="165"/>
      <c r="B46" s="164"/>
      <c r="C46" s="164"/>
      <c r="D46" s="265"/>
      <c r="E46" s="164"/>
      <c r="F46" s="165"/>
      <c r="G46" s="164"/>
      <c r="H46" s="164"/>
      <c r="I46" s="265"/>
    </row>
    <row r="47" spans="1:9" ht="15">
      <c r="A47" s="165"/>
      <c r="B47" s="164"/>
      <c r="C47" s="164"/>
      <c r="D47" s="265"/>
      <c r="E47" s="164"/>
      <c r="F47" s="165"/>
      <c r="G47" s="164"/>
      <c r="H47" s="164"/>
      <c r="I47" s="265"/>
    </row>
    <row r="48" spans="1:9" ht="15">
      <c r="A48" s="165"/>
      <c r="B48" s="164"/>
      <c r="C48" s="164"/>
      <c r="D48" s="265"/>
      <c r="E48" s="164"/>
      <c r="F48" s="165"/>
      <c r="G48" s="164"/>
      <c r="H48" s="164"/>
      <c r="I48" s="265"/>
    </row>
    <row r="49" spans="1:9" ht="15">
      <c r="A49" s="165"/>
      <c r="B49" s="164"/>
      <c r="C49" s="164"/>
      <c r="D49" s="265"/>
      <c r="E49" s="164"/>
      <c r="F49" s="165"/>
      <c r="G49" s="164"/>
      <c r="H49" s="164"/>
      <c r="I49" s="265"/>
    </row>
    <row r="50" spans="1:9" ht="15">
      <c r="A50" s="165"/>
      <c r="B50" s="164"/>
      <c r="C50" s="164"/>
      <c r="D50" s="265"/>
      <c r="E50" s="164"/>
      <c r="F50" s="165"/>
      <c r="G50" s="164"/>
      <c r="H50" s="164"/>
      <c r="I50" s="265"/>
    </row>
    <row r="51" spans="1:9" ht="15">
      <c r="A51" s="165"/>
      <c r="B51" s="164"/>
      <c r="C51" s="164"/>
      <c r="D51" s="265"/>
      <c r="E51" s="164"/>
      <c r="F51" s="165"/>
      <c r="G51" s="164"/>
      <c r="H51" s="164"/>
      <c r="I51" s="265"/>
    </row>
    <row r="52" spans="1:9" ht="15">
      <c r="A52" s="165"/>
      <c r="B52" s="164"/>
      <c r="C52" s="164"/>
      <c r="D52" s="265"/>
      <c r="E52" s="164"/>
      <c r="F52" s="165"/>
      <c r="G52" s="164"/>
      <c r="H52" s="164"/>
      <c r="I52" s="265"/>
    </row>
    <row r="53" spans="1:9" ht="15">
      <c r="A53" s="165"/>
      <c r="B53" s="164"/>
      <c r="C53" s="164"/>
      <c r="D53" s="265"/>
      <c r="E53" s="164"/>
      <c r="F53" s="165"/>
      <c r="G53" s="164"/>
      <c r="H53" s="164"/>
      <c r="I53" s="265"/>
    </row>
    <row r="54" spans="1:9" ht="15">
      <c r="A54" s="165"/>
      <c r="B54" s="164"/>
      <c r="C54" s="164"/>
      <c r="D54" s="265"/>
      <c r="E54" s="164"/>
      <c r="F54" s="165"/>
      <c r="G54" s="164"/>
      <c r="H54" s="164"/>
      <c r="I54" s="265"/>
    </row>
    <row r="55" spans="1:9" ht="15">
      <c r="A55" s="165"/>
      <c r="B55" s="164"/>
      <c r="C55" s="164"/>
      <c r="D55" s="265"/>
      <c r="E55" s="164"/>
      <c r="F55" s="165"/>
      <c r="G55" s="164"/>
      <c r="H55" s="164"/>
      <c r="I55" s="265"/>
    </row>
    <row r="56" spans="1:9" ht="15">
      <c r="A56" s="165"/>
      <c r="B56" s="164"/>
      <c r="C56" s="164"/>
      <c r="D56" s="265"/>
      <c r="E56" s="164"/>
      <c r="F56" s="165"/>
      <c r="G56" s="164"/>
      <c r="H56" s="164"/>
      <c r="I56" s="265"/>
    </row>
    <row r="57" spans="1:9" ht="15">
      <c r="A57" s="165"/>
      <c r="B57" s="164"/>
      <c r="C57" s="164"/>
      <c r="D57" s="265"/>
      <c r="E57" s="164"/>
      <c r="F57" s="165"/>
      <c r="G57" s="164"/>
      <c r="H57" s="164"/>
      <c r="I57" s="265"/>
    </row>
    <row r="58" spans="1:9" ht="15">
      <c r="A58" s="165"/>
      <c r="B58" s="164"/>
      <c r="C58" s="164"/>
      <c r="D58" s="265"/>
      <c r="E58" s="164"/>
      <c r="F58" s="165"/>
      <c r="G58" s="164"/>
      <c r="H58" s="164"/>
      <c r="I58" s="265"/>
    </row>
    <row r="59" spans="1:9" ht="15">
      <c r="A59" s="165"/>
      <c r="B59" s="165"/>
      <c r="C59" s="165"/>
      <c r="D59" s="165"/>
      <c r="E59" s="165"/>
      <c r="F59" s="165"/>
      <c r="G59" s="165"/>
      <c r="H59" s="165"/>
      <c r="I59" s="165"/>
    </row>
  </sheetData>
  <sheetProtection/>
  <mergeCells count="3">
    <mergeCell ref="A11:G11"/>
    <mergeCell ref="A3:F3"/>
    <mergeCell ref="A7:F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4"/>
  <sheetViews>
    <sheetView zoomScale="85" zoomScaleNormal="85" zoomScalePageLayoutView="0" workbookViewId="0" topLeftCell="A9">
      <selection activeCell="B10" sqref="B10"/>
    </sheetView>
  </sheetViews>
  <sheetFormatPr defaultColWidth="9.140625" defaultRowHeight="15"/>
  <cols>
    <col min="1" max="1" width="22.7109375" style="258" customWidth="1"/>
    <col min="2" max="2" width="15.140625" style="0" customWidth="1"/>
    <col min="3" max="3" width="14.57421875" style="0" customWidth="1"/>
    <col min="4" max="4" width="14.140625" style="0" customWidth="1"/>
    <col min="5" max="5" width="20.57421875" style="0" customWidth="1"/>
    <col min="6" max="6" width="4.7109375" style="0" customWidth="1"/>
    <col min="7" max="7" width="15.7109375" style="0" customWidth="1"/>
    <col min="8" max="8" width="13.140625" style="0" customWidth="1"/>
    <col min="9" max="9" width="14.00390625" style="0" customWidth="1"/>
    <col min="10" max="10" width="18.421875" style="0" customWidth="1"/>
    <col min="11" max="11" width="9.140625" style="0" customWidth="1"/>
    <col min="12" max="12" width="21.421875" style="0" customWidth="1"/>
    <col min="13" max="13" width="12.28125" style="0" customWidth="1"/>
    <col min="14" max="14" width="13.28125" style="0" customWidth="1"/>
    <col min="15" max="15" width="14.57421875" style="0" customWidth="1"/>
    <col min="16" max="16" width="9.140625" style="0" customWidth="1"/>
  </cols>
  <sheetData>
    <row r="1" spans="1:11" ht="18.75">
      <c r="A1" s="159" t="s">
        <v>261</v>
      </c>
      <c r="K1" t="s">
        <v>206</v>
      </c>
    </row>
    <row r="2" ht="15">
      <c r="A2" s="162" t="s">
        <v>263</v>
      </c>
    </row>
    <row r="3" spans="1:7" ht="63" customHeight="1">
      <c r="A3" s="417" t="s">
        <v>298</v>
      </c>
      <c r="B3" s="417"/>
      <c r="C3" s="417"/>
      <c r="D3" s="417"/>
      <c r="E3" s="417"/>
      <c r="F3" s="163"/>
      <c r="G3" s="163"/>
    </row>
    <row r="4" spans="1:7" ht="15">
      <c r="A4" s="348"/>
      <c r="B4" s="348"/>
      <c r="C4" s="348"/>
      <c r="D4" s="348"/>
      <c r="E4" s="348"/>
      <c r="F4" s="348"/>
      <c r="G4" s="348"/>
    </row>
    <row r="5" spans="1:7" ht="15">
      <c r="A5" s="257" t="s">
        <v>247</v>
      </c>
      <c r="B5" s="348"/>
      <c r="C5" s="348"/>
      <c r="D5" s="348"/>
      <c r="E5" s="348"/>
      <c r="F5" s="348"/>
      <c r="G5" s="348"/>
    </row>
    <row r="6" ht="15">
      <c r="A6" s="258" t="s">
        <v>262</v>
      </c>
    </row>
    <row r="7" spans="1:5" ht="15" customHeight="1">
      <c r="A7" s="373" t="s">
        <v>264</v>
      </c>
      <c r="B7" s="373"/>
      <c r="C7" s="373"/>
      <c r="D7" s="373"/>
      <c r="E7" s="373"/>
    </row>
    <row r="9" ht="15">
      <c r="B9" s="190" t="s">
        <v>290</v>
      </c>
    </row>
    <row r="10" spans="1:2" ht="15">
      <c r="A10" s="285" t="str">
        <f>'Monetary Values'!B74</f>
        <v>Weighted average op cost per veh km, urban main roads</v>
      </c>
      <c r="B10" s="198">
        <f>HLOOKUP('Main calculation'!$B$34,'Monetary Values'!$D$3:$G$74,72,FALSE)</f>
        <v>0.49668018793970886</v>
      </c>
    </row>
    <row r="12" spans="1:10" ht="18.75">
      <c r="A12"/>
      <c r="B12" s="333" t="s">
        <v>1</v>
      </c>
      <c r="C12" s="307"/>
      <c r="D12" s="307"/>
      <c r="E12" s="307"/>
      <c r="F12" s="109"/>
      <c r="G12" s="308" t="s">
        <v>2</v>
      </c>
      <c r="H12" s="309"/>
      <c r="I12" s="309"/>
      <c r="J12" s="309"/>
    </row>
    <row r="13" spans="1:10" ht="45.75" customHeight="1">
      <c r="A13"/>
      <c r="B13" s="344" t="s">
        <v>0</v>
      </c>
      <c r="C13" s="336" t="s">
        <v>208</v>
      </c>
      <c r="D13" s="336" t="s">
        <v>10</v>
      </c>
      <c r="E13" s="336" t="s">
        <v>109</v>
      </c>
      <c r="F13" s="130"/>
      <c r="G13" s="129" t="s">
        <v>0</v>
      </c>
      <c r="H13" s="223" t="s">
        <v>208</v>
      </c>
      <c r="I13" s="223" t="s">
        <v>10</v>
      </c>
      <c r="J13" s="223" t="s">
        <v>109</v>
      </c>
    </row>
    <row r="14" spans="1:10" ht="15">
      <c r="A14" s="256">
        <f>IF('Main calculation'!$B$36=2013,"Starting year --&gt;","")</f>
      </c>
      <c r="B14" s="345">
        <f>'Main calculation'!C43</f>
        <v>2013</v>
      </c>
      <c r="C14" s="343"/>
      <c r="D14" s="344">
        <f>'Main calculation'!B38</f>
        <v>300</v>
      </c>
      <c r="E14" s="111">
        <f>$B$10*C14*D14</f>
        <v>0</v>
      </c>
      <c r="F14" s="130"/>
      <c r="G14" s="5">
        <f>'Main calculation'!C43</f>
        <v>2013</v>
      </c>
      <c r="H14" s="93"/>
      <c r="I14" s="344">
        <f>'Main calculation'!$B$38</f>
        <v>300</v>
      </c>
      <c r="J14" s="111">
        <f>$B$10*H14*I14</f>
        <v>0</v>
      </c>
    </row>
    <row r="15" spans="1:10" ht="15">
      <c r="A15" s="256" t="str">
        <f>IF('Main calculation'!$B$36=2014,"Starting year --&gt;","")</f>
        <v>Starting year --&gt;</v>
      </c>
      <c r="B15" s="345">
        <f>'Main calculation'!C44</f>
        <v>2014</v>
      </c>
      <c r="C15" s="343">
        <v>5840</v>
      </c>
      <c r="D15" s="344">
        <f>'Main calculation'!B38</f>
        <v>300</v>
      </c>
      <c r="E15" s="110">
        <f aca="true" t="shared" si="0" ref="E15:E31">$B$10*C15*D15</f>
        <v>870183.6892703698</v>
      </c>
      <c r="F15" s="130"/>
      <c r="G15" s="5">
        <f>'Main calculation'!C44</f>
        <v>2014</v>
      </c>
      <c r="H15" s="93">
        <v>7240</v>
      </c>
      <c r="I15" s="344">
        <f>'Main calculation'!$B$38</f>
        <v>300</v>
      </c>
      <c r="J15" s="110">
        <f>$B$10*H15*I15</f>
        <v>1078789.3682050477</v>
      </c>
    </row>
    <row r="16" spans="1:10" ht="15">
      <c r="A16" s="256">
        <f>IF('Main calculation'!$B$36=2015,"Starting year --&gt;","")</f>
      </c>
      <c r="B16" s="345">
        <f>'Main calculation'!C45</f>
        <v>2015</v>
      </c>
      <c r="C16" s="343">
        <v>5840</v>
      </c>
      <c r="D16" s="344">
        <f>'Main calculation'!B38</f>
        <v>300</v>
      </c>
      <c r="E16" s="110">
        <f t="shared" si="0"/>
        <v>870183.6892703698</v>
      </c>
      <c r="F16" s="112"/>
      <c r="G16" s="5">
        <f>'Main calculation'!C45</f>
        <v>2015</v>
      </c>
      <c r="H16" s="93">
        <v>7240</v>
      </c>
      <c r="I16" s="344">
        <f>'Main calculation'!$B$38</f>
        <v>300</v>
      </c>
      <c r="J16" s="110">
        <f>$B$10*H16*I16</f>
        <v>1078789.3682050477</v>
      </c>
    </row>
    <row r="17" spans="1:10" ht="15">
      <c r="A17" s="256">
        <f>IF('Main calculation'!$B$36=2016,"Starting year --&gt;","")</f>
      </c>
      <c r="B17" s="345">
        <f>'Main calculation'!C46</f>
        <v>2016</v>
      </c>
      <c r="C17" s="343">
        <v>5840</v>
      </c>
      <c r="D17" s="344">
        <f>'Main calculation'!B38</f>
        <v>300</v>
      </c>
      <c r="E17" s="110">
        <f t="shared" si="0"/>
        <v>870183.6892703698</v>
      </c>
      <c r="F17" s="112"/>
      <c r="G17" s="5">
        <f>'Main calculation'!C46</f>
        <v>2016</v>
      </c>
      <c r="H17" s="93">
        <v>7240</v>
      </c>
      <c r="I17" s="344">
        <f>'Main calculation'!$B$38</f>
        <v>300</v>
      </c>
      <c r="J17" s="110">
        <f aca="true" t="shared" si="1" ref="J17:J31">$B$10*H17*I17</f>
        <v>1078789.3682050477</v>
      </c>
    </row>
    <row r="18" spans="1:10" ht="15">
      <c r="A18" s="256">
        <f>IF('Main calculation'!$B$36=2017,"Starting year --&gt;","")</f>
      </c>
      <c r="B18" s="345">
        <f>'Main calculation'!C47</f>
        <v>2017</v>
      </c>
      <c r="C18" s="343">
        <v>5840</v>
      </c>
      <c r="D18" s="344">
        <f>'Main calculation'!B38</f>
        <v>300</v>
      </c>
      <c r="E18" s="110">
        <f t="shared" si="0"/>
        <v>870183.6892703698</v>
      </c>
      <c r="F18" s="112"/>
      <c r="G18" s="5">
        <f>'Main calculation'!C47</f>
        <v>2017</v>
      </c>
      <c r="H18" s="93">
        <v>7240</v>
      </c>
      <c r="I18" s="344">
        <f>'Main calculation'!$B$38</f>
        <v>300</v>
      </c>
      <c r="J18" s="110">
        <f t="shared" si="1"/>
        <v>1078789.3682050477</v>
      </c>
    </row>
    <row r="19" spans="1:10" ht="15">
      <c r="A19" s="256">
        <f>IF('Main calculation'!$B$36=2018,"Starting year --&gt;","")</f>
      </c>
      <c r="B19" s="345">
        <f>'Main calculation'!C48</f>
        <v>2018</v>
      </c>
      <c r="C19" s="343">
        <v>5840</v>
      </c>
      <c r="D19" s="344">
        <f>'Main calculation'!B38</f>
        <v>300</v>
      </c>
      <c r="E19" s="110">
        <f t="shared" si="0"/>
        <v>870183.6892703698</v>
      </c>
      <c r="F19" s="112"/>
      <c r="G19" s="5">
        <f>'Main calculation'!C48</f>
        <v>2018</v>
      </c>
      <c r="H19" s="93">
        <v>7240</v>
      </c>
      <c r="I19" s="344">
        <f>'Main calculation'!$B$38</f>
        <v>300</v>
      </c>
      <c r="J19" s="110">
        <f t="shared" si="1"/>
        <v>1078789.3682050477</v>
      </c>
    </row>
    <row r="20" spans="1:10" ht="15">
      <c r="A20" s="256">
        <f>IF('Main calculation'!$B$36=2019,"Starting year --&gt;","")</f>
      </c>
      <c r="B20" s="345">
        <f>'Main calculation'!C49</f>
        <v>2019</v>
      </c>
      <c r="C20" s="343">
        <v>5840</v>
      </c>
      <c r="D20" s="344">
        <f>'Main calculation'!B38</f>
        <v>300</v>
      </c>
      <c r="E20" s="110">
        <f t="shared" si="0"/>
        <v>870183.6892703698</v>
      </c>
      <c r="F20" s="112"/>
      <c r="G20" s="5">
        <f>'Main calculation'!C49</f>
        <v>2019</v>
      </c>
      <c r="H20" s="93">
        <v>7240</v>
      </c>
      <c r="I20" s="344">
        <f>'Main calculation'!$B$38</f>
        <v>300</v>
      </c>
      <c r="J20" s="110">
        <f t="shared" si="1"/>
        <v>1078789.3682050477</v>
      </c>
    </row>
    <row r="21" spans="1:10" ht="15">
      <c r="A21" s="256">
        <f>IF('Main calculation'!$B$36=2020,"Starting year --&gt;","")</f>
      </c>
      <c r="B21" s="345">
        <f>'Main calculation'!C50</f>
        <v>2020</v>
      </c>
      <c r="C21" s="343">
        <v>5840</v>
      </c>
      <c r="D21" s="344">
        <f>'Main calculation'!B38</f>
        <v>300</v>
      </c>
      <c r="E21" s="110">
        <f t="shared" si="0"/>
        <v>870183.6892703698</v>
      </c>
      <c r="F21" s="112"/>
      <c r="G21" s="5">
        <f>'Main calculation'!C50</f>
        <v>2020</v>
      </c>
      <c r="H21" s="93">
        <v>7240</v>
      </c>
      <c r="I21" s="344">
        <f>'Main calculation'!$B$38</f>
        <v>300</v>
      </c>
      <c r="J21" s="110">
        <f t="shared" si="1"/>
        <v>1078789.3682050477</v>
      </c>
    </row>
    <row r="22" spans="1:10" ht="15">
      <c r="A22" s="256">
        <f>IF('Main calculation'!$B$36=2021,"Starting year --&gt;","")</f>
      </c>
      <c r="B22" s="345">
        <f>'Main calculation'!C51</f>
        <v>2021</v>
      </c>
      <c r="C22" s="343">
        <v>5840</v>
      </c>
      <c r="D22" s="344">
        <f>'Main calculation'!B38</f>
        <v>300</v>
      </c>
      <c r="E22" s="110">
        <f t="shared" si="0"/>
        <v>870183.6892703698</v>
      </c>
      <c r="F22" s="112"/>
      <c r="G22" s="5">
        <f>'Main calculation'!C51</f>
        <v>2021</v>
      </c>
      <c r="H22" s="93">
        <v>7240</v>
      </c>
      <c r="I22" s="344">
        <f>'Main calculation'!$B$38</f>
        <v>300</v>
      </c>
      <c r="J22" s="110">
        <f t="shared" si="1"/>
        <v>1078789.3682050477</v>
      </c>
    </row>
    <row r="23" spans="1:10" ht="15">
      <c r="A23" s="256">
        <f>IF('Main calculation'!$B$36=2022,"Starting year --&gt;","")</f>
      </c>
      <c r="B23" s="345">
        <f>'Main calculation'!C52</f>
        <v>2022</v>
      </c>
      <c r="C23" s="343">
        <v>5840</v>
      </c>
      <c r="D23" s="344">
        <f>'Main calculation'!B38</f>
        <v>300</v>
      </c>
      <c r="E23" s="110">
        <f t="shared" si="0"/>
        <v>870183.6892703698</v>
      </c>
      <c r="F23" s="112"/>
      <c r="G23" s="5">
        <f>'Main calculation'!C52</f>
        <v>2022</v>
      </c>
      <c r="H23" s="93">
        <v>7240</v>
      </c>
      <c r="I23" s="344">
        <f>'Main calculation'!$B$38</f>
        <v>300</v>
      </c>
      <c r="J23" s="110">
        <f t="shared" si="1"/>
        <v>1078789.3682050477</v>
      </c>
    </row>
    <row r="24" spans="1:10" ht="15">
      <c r="A24" s="256">
        <f>IF('Main calculation'!$B$36=2023,"Starting year --&gt;","")</f>
      </c>
      <c r="B24" s="345">
        <f>'Main calculation'!C53</f>
        <v>2023</v>
      </c>
      <c r="C24" s="343">
        <v>5840</v>
      </c>
      <c r="D24" s="344">
        <f>'Main calculation'!B38</f>
        <v>300</v>
      </c>
      <c r="E24" s="110">
        <f t="shared" si="0"/>
        <v>870183.6892703698</v>
      </c>
      <c r="F24" s="112"/>
      <c r="G24" s="5">
        <f>'Main calculation'!C53</f>
        <v>2023</v>
      </c>
      <c r="H24" s="93">
        <v>7240</v>
      </c>
      <c r="I24" s="344">
        <f>'Main calculation'!$B$38</f>
        <v>300</v>
      </c>
      <c r="J24" s="110">
        <f t="shared" si="1"/>
        <v>1078789.3682050477</v>
      </c>
    </row>
    <row r="25" spans="1:10" ht="15">
      <c r="A25" s="256">
        <f>IF('Main calculation'!$B$36=2024,"Starting year --&gt;","")</f>
      </c>
      <c r="B25" s="345">
        <f>'Main calculation'!C54</f>
        <v>2024</v>
      </c>
      <c r="C25" s="343">
        <v>5840</v>
      </c>
      <c r="D25" s="344">
        <f>'Main calculation'!B38</f>
        <v>300</v>
      </c>
      <c r="E25" s="110">
        <f t="shared" si="0"/>
        <v>870183.6892703698</v>
      </c>
      <c r="F25" s="112"/>
      <c r="G25" s="5">
        <f>'Main calculation'!C54</f>
        <v>2024</v>
      </c>
      <c r="H25" s="93">
        <v>7240</v>
      </c>
      <c r="I25" s="344">
        <f>'Main calculation'!$B$38</f>
        <v>300</v>
      </c>
      <c r="J25" s="110">
        <f t="shared" si="1"/>
        <v>1078789.3682050477</v>
      </c>
    </row>
    <row r="26" spans="1:10" ht="15">
      <c r="A26" s="256">
        <f>IF('Main calculation'!$B$36=2025,"Starting year --&gt;","")</f>
      </c>
      <c r="B26" s="345">
        <f>'Main calculation'!C55</f>
        <v>2025</v>
      </c>
      <c r="C26" s="343">
        <v>5840</v>
      </c>
      <c r="D26" s="344">
        <f>'Main calculation'!B38</f>
        <v>300</v>
      </c>
      <c r="E26" s="110">
        <f t="shared" si="0"/>
        <v>870183.6892703698</v>
      </c>
      <c r="F26" s="112"/>
      <c r="G26" s="5">
        <f>'Main calculation'!C55</f>
        <v>2025</v>
      </c>
      <c r="H26" s="93">
        <v>7240</v>
      </c>
      <c r="I26" s="344">
        <f>'Main calculation'!$B$38</f>
        <v>300</v>
      </c>
      <c r="J26" s="110">
        <f t="shared" si="1"/>
        <v>1078789.3682050477</v>
      </c>
    </row>
    <row r="27" spans="1:10" ht="15">
      <c r="A27" s="256">
        <f>IF('Main calculation'!$B$36=2026,"Starting year --&gt;","")</f>
      </c>
      <c r="B27" s="345">
        <f>'Main calculation'!C56</f>
        <v>2026</v>
      </c>
      <c r="C27" s="343">
        <v>5840</v>
      </c>
      <c r="D27" s="344">
        <f>'Main calculation'!B38</f>
        <v>300</v>
      </c>
      <c r="E27" s="110">
        <f t="shared" si="0"/>
        <v>870183.6892703698</v>
      </c>
      <c r="F27" s="112"/>
      <c r="G27" s="5">
        <f>'Main calculation'!C56</f>
        <v>2026</v>
      </c>
      <c r="H27" s="93">
        <v>7240</v>
      </c>
      <c r="I27" s="344">
        <f>'Main calculation'!$B$38</f>
        <v>300</v>
      </c>
      <c r="J27" s="110">
        <f t="shared" si="1"/>
        <v>1078789.3682050477</v>
      </c>
    </row>
    <row r="28" spans="1:10" ht="15">
      <c r="A28" s="256">
        <f>IF('Main calculation'!$B$36=2027,"Starting year --&gt;","")</f>
      </c>
      <c r="B28" s="345">
        <f>'Main calculation'!C57</f>
        <v>2027</v>
      </c>
      <c r="C28" s="343">
        <v>5840</v>
      </c>
      <c r="D28" s="344">
        <f>'Main calculation'!B38</f>
        <v>300</v>
      </c>
      <c r="E28" s="110">
        <f t="shared" si="0"/>
        <v>870183.6892703698</v>
      </c>
      <c r="F28" s="112"/>
      <c r="G28" s="5">
        <f>'Main calculation'!C57</f>
        <v>2027</v>
      </c>
      <c r="H28" s="93">
        <v>7240</v>
      </c>
      <c r="I28" s="344">
        <f>'Main calculation'!$B$38</f>
        <v>300</v>
      </c>
      <c r="J28" s="110">
        <f t="shared" si="1"/>
        <v>1078789.3682050477</v>
      </c>
    </row>
    <row r="29" spans="1:10" ht="15">
      <c r="A29" s="256" t="str">
        <f>IF('Main calculation'!$B$37=2028,"Finishing year --&gt;","")</f>
        <v>Finishing year --&gt;</v>
      </c>
      <c r="B29" s="345">
        <f>'Main calculation'!C58</f>
        <v>2028</v>
      </c>
      <c r="C29" s="343">
        <v>5840</v>
      </c>
      <c r="D29" s="344">
        <f>'Main calculation'!B38</f>
        <v>300</v>
      </c>
      <c r="E29" s="110">
        <f t="shared" si="0"/>
        <v>870183.6892703698</v>
      </c>
      <c r="F29" s="112"/>
      <c r="G29" s="5">
        <f>'Main calculation'!C58</f>
        <v>2028</v>
      </c>
      <c r="H29" s="93">
        <v>7240</v>
      </c>
      <c r="I29" s="344">
        <f>'Main calculation'!$B$38</f>
        <v>300</v>
      </c>
      <c r="J29" s="110">
        <f t="shared" si="1"/>
        <v>1078789.3682050477</v>
      </c>
    </row>
    <row r="30" spans="1:10" ht="15">
      <c r="A30" s="256">
        <f>IF('Main calculation'!$B$37=2029,"Finishing year --&gt;","")</f>
      </c>
      <c r="B30" s="345">
        <f>'Main calculation'!C59</f>
        <v>2029</v>
      </c>
      <c r="C30" s="343"/>
      <c r="D30" s="344">
        <f>'Main calculation'!B38</f>
        <v>300</v>
      </c>
      <c r="E30" s="111">
        <f t="shared" si="0"/>
        <v>0</v>
      </c>
      <c r="F30" s="112"/>
      <c r="G30" s="5">
        <f>'Main calculation'!C59</f>
        <v>2029</v>
      </c>
      <c r="H30" s="93"/>
      <c r="I30" s="344">
        <f>'Main calculation'!$B$38</f>
        <v>300</v>
      </c>
      <c r="J30" s="111">
        <f t="shared" si="1"/>
        <v>0</v>
      </c>
    </row>
    <row r="31" spans="1:10" ht="15">
      <c r="A31" s="256">
        <f>IF('Main calculation'!$B$37=2030,"Finishing year --&gt;","")</f>
      </c>
      <c r="B31" s="345">
        <f>'Main calculation'!C60</f>
        <v>2030</v>
      </c>
      <c r="C31" s="343"/>
      <c r="D31" s="344">
        <f>'Main calculation'!B38</f>
        <v>300</v>
      </c>
      <c r="E31" s="111">
        <f t="shared" si="0"/>
        <v>0</v>
      </c>
      <c r="F31" s="112"/>
      <c r="G31" s="5">
        <f>'Main calculation'!C60</f>
        <v>2030</v>
      </c>
      <c r="H31" s="93"/>
      <c r="I31" s="344">
        <f>'Main calculation'!$B$38</f>
        <v>300</v>
      </c>
      <c r="J31" s="111">
        <f t="shared" si="1"/>
        <v>0</v>
      </c>
    </row>
    <row r="32" spans="1:2" ht="15">
      <c r="A32" s="256">
        <f>IF('Main calculation'!$B$37=2031,"Finishing year --&gt;","")</f>
      </c>
      <c r="B32" s="258"/>
    </row>
    <row r="33" spans="1:2" ht="15">
      <c r="A33" s="256">
        <f>IF('Main calculation'!$B$37=2032,"Finishing year --&gt;","")</f>
      </c>
      <c r="B33" s="258"/>
    </row>
    <row r="34" spans="1:2" ht="15">
      <c r="A34" s="256">
        <f>IF('Main calculation'!$B$37=2033,"Finishing year --&gt;","")</f>
      </c>
      <c r="B34" s="258"/>
    </row>
  </sheetData>
  <sheetProtection/>
  <mergeCells count="1">
    <mergeCell ref="A3:E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65"/>
  <sheetViews>
    <sheetView zoomScale="85" zoomScaleNormal="85" zoomScalePageLayoutView="0" workbookViewId="0" topLeftCell="A30">
      <selection activeCell="B18" sqref="B18"/>
    </sheetView>
  </sheetViews>
  <sheetFormatPr defaultColWidth="9.140625" defaultRowHeight="15"/>
  <cols>
    <col min="1" max="1" width="24.421875" style="0" customWidth="1"/>
    <col min="2" max="2" width="12.7109375" style="0" customWidth="1"/>
    <col min="3" max="3" width="15.8515625" style="0" customWidth="1"/>
    <col min="4" max="4" width="15.421875" style="0" customWidth="1"/>
    <col min="5" max="5" width="13.57421875" style="0" customWidth="1"/>
    <col min="6" max="6" width="14.140625" style="0" customWidth="1"/>
    <col min="7" max="7" width="13.421875" style="0" customWidth="1"/>
    <col min="8" max="8" width="13.00390625" style="0" customWidth="1"/>
    <col min="9" max="9" width="16.7109375" style="0" customWidth="1"/>
    <col min="10" max="10" width="4.421875" style="0" customWidth="1"/>
    <col min="11" max="11" width="12.7109375" style="0" customWidth="1"/>
    <col min="12" max="12" width="15.8515625" style="0" customWidth="1"/>
    <col min="13" max="13" width="11.8515625" style="0" customWidth="1"/>
    <col min="14" max="14" width="13.7109375" style="0" customWidth="1"/>
    <col min="15" max="15" width="13.421875" style="0" customWidth="1"/>
    <col min="16" max="16" width="12.8515625" style="0" bestFit="1" customWidth="1"/>
    <col min="17" max="17" width="13.00390625" style="0" customWidth="1"/>
    <col min="18" max="18" width="13.421875" style="0" customWidth="1"/>
    <col min="19" max="19" width="10.140625" style="0" customWidth="1"/>
    <col min="20" max="20" width="9.57421875" style="0" customWidth="1"/>
  </cols>
  <sheetData>
    <row r="1" ht="18.75">
      <c r="A1" s="159" t="s">
        <v>265</v>
      </c>
    </row>
    <row r="2" ht="15">
      <c r="A2" s="162" t="s">
        <v>263</v>
      </c>
    </row>
    <row r="3" spans="1:5" ht="75.75" customHeight="1">
      <c r="A3" s="418" t="s">
        <v>271</v>
      </c>
      <c r="B3" s="418"/>
      <c r="C3" s="418"/>
      <c r="D3" s="418"/>
      <c r="E3" s="418"/>
    </row>
    <row r="4" ht="15">
      <c r="A4" s="255"/>
    </row>
    <row r="5" ht="15">
      <c r="A5" s="162" t="s">
        <v>266</v>
      </c>
    </row>
    <row r="6" spans="1:5" ht="62.25" customHeight="1">
      <c r="A6" s="418" t="s">
        <v>270</v>
      </c>
      <c r="B6" s="418"/>
      <c r="C6" s="418"/>
      <c r="D6" s="418"/>
      <c r="E6" s="418"/>
    </row>
    <row r="7" ht="15">
      <c r="A7" s="255"/>
    </row>
    <row r="8" ht="15">
      <c r="A8" s="162" t="s">
        <v>247</v>
      </c>
    </row>
    <row r="9" spans="1:14" ht="30.75" customHeight="1">
      <c r="A9" s="417" t="s">
        <v>267</v>
      </c>
      <c r="B9" s="417"/>
      <c r="C9" s="417"/>
      <c r="D9" s="417"/>
      <c r="E9" s="417"/>
      <c r="F9" s="373"/>
      <c r="G9" s="373"/>
      <c r="H9" s="373"/>
      <c r="I9" s="163"/>
      <c r="J9" s="424"/>
      <c r="K9" s="424"/>
      <c r="L9" s="229"/>
      <c r="M9" s="163"/>
      <c r="N9" s="163"/>
    </row>
    <row r="10" spans="1:14" ht="15">
      <c r="A10" s="417" t="s">
        <v>268</v>
      </c>
      <c r="B10" s="417"/>
      <c r="C10" s="417"/>
      <c r="D10" s="417"/>
      <c r="E10" s="417"/>
      <c r="F10" s="348"/>
      <c r="G10" s="348"/>
      <c r="H10" s="348"/>
      <c r="I10" s="163"/>
      <c r="J10" s="349"/>
      <c r="K10" s="349"/>
      <c r="L10" s="229"/>
      <c r="M10" s="163"/>
      <c r="N10" s="163"/>
    </row>
    <row r="11" spans="1:14" ht="15">
      <c r="A11" s="417" t="s">
        <v>269</v>
      </c>
      <c r="B11" s="417"/>
      <c r="C11" s="417"/>
      <c r="D11" s="417"/>
      <c r="E11" s="417"/>
      <c r="F11" s="348"/>
      <c r="G11" s="348"/>
      <c r="H11" s="348"/>
      <c r="I11" s="163"/>
      <c r="J11" s="349"/>
      <c r="K11" s="349"/>
      <c r="L11" s="229"/>
      <c r="M11" s="163"/>
      <c r="N11" s="163"/>
    </row>
    <row r="12" spans="1:14" ht="15">
      <c r="A12" s="417" t="s">
        <v>257</v>
      </c>
      <c r="B12" s="417"/>
      <c r="C12" s="417"/>
      <c r="D12" s="417"/>
      <c r="E12" s="417"/>
      <c r="F12" s="348"/>
      <c r="G12" s="348"/>
      <c r="H12" s="348"/>
      <c r="I12" s="163"/>
      <c r="J12" s="349"/>
      <c r="K12" s="349"/>
      <c r="L12" s="229"/>
      <c r="M12" s="163"/>
      <c r="N12" s="163"/>
    </row>
    <row r="14" spans="1:2" ht="15">
      <c r="A14" s="190" t="s">
        <v>98</v>
      </c>
      <c r="B14" s="122">
        <v>199999</v>
      </c>
    </row>
    <row r="15" spans="1:20" ht="15">
      <c r="A15" s="254"/>
      <c r="H15" s="165"/>
      <c r="I15" s="165"/>
      <c r="J15" s="165"/>
      <c r="K15" s="165"/>
      <c r="L15" s="249"/>
      <c r="M15" s="250"/>
      <c r="N15" s="165"/>
      <c r="O15" s="165"/>
      <c r="P15" s="165"/>
      <c r="Q15" s="165"/>
      <c r="R15" s="165"/>
      <c r="S15" s="244"/>
      <c r="T15" s="191"/>
    </row>
    <row r="16" spans="1:20" ht="15">
      <c r="A16" s="241"/>
      <c r="B16" s="243" t="str">
        <f>HLOOKUP('Main calculation'!$B$34,'Monetary Values'!$D$3:$G$67,47,FALSE)</f>
        <v>EURg/kg</v>
      </c>
      <c r="C16" s="239"/>
      <c r="D16" s="239"/>
      <c r="E16" s="239"/>
      <c r="F16" s="240"/>
      <c r="H16" s="165"/>
      <c r="I16" s="165"/>
      <c r="J16" s="165"/>
      <c r="K16" s="165"/>
      <c r="L16" s="165"/>
      <c r="M16" s="165"/>
      <c r="N16" s="165"/>
      <c r="O16" s="165"/>
      <c r="P16" s="165"/>
      <c r="Q16" s="165"/>
      <c r="R16" s="165"/>
      <c r="S16" s="244"/>
      <c r="T16" s="191"/>
    </row>
    <row r="17" spans="1:20" ht="15">
      <c r="A17" s="242" t="s">
        <v>103</v>
      </c>
      <c r="B17" s="234" t="s">
        <v>70</v>
      </c>
      <c r="C17" s="235" t="s">
        <v>76</v>
      </c>
      <c r="D17" s="235" t="s">
        <v>101</v>
      </c>
      <c r="E17" s="235" t="s">
        <v>102</v>
      </c>
      <c r="F17" s="235" t="s">
        <v>78</v>
      </c>
      <c r="H17" s="251"/>
      <c r="I17" s="252"/>
      <c r="J17" s="251"/>
      <c r="K17" s="251"/>
      <c r="L17" s="251"/>
      <c r="M17" s="251"/>
      <c r="N17" s="251"/>
      <c r="O17" s="251"/>
      <c r="P17" s="252"/>
      <c r="Q17" s="251"/>
      <c r="R17" s="251"/>
      <c r="S17" s="245"/>
      <c r="T17" s="192"/>
    </row>
    <row r="18" spans="1:20" ht="15">
      <c r="A18" s="232" t="s">
        <v>71</v>
      </c>
      <c r="B18" s="126">
        <f>HLOOKUP('Main calculation'!$B$34,'Monetary Values'!$D$3:$G$67,48,FALSE)</f>
        <v>1335.405111971622</v>
      </c>
      <c r="C18" s="126">
        <f>HLOOKUP('Main calculation'!$B$34,'Monetary Values'!$D$3:$G$67,57,FALSE)</f>
        <v>24.482427052813073</v>
      </c>
      <c r="D18" s="126">
        <f>HLOOKUP('Main calculation'!$B$34,'Monetary Values'!$D$3:$G$67,52,FALSE)</f>
        <v>7.789863153167796</v>
      </c>
      <c r="E18" s="127">
        <f>HLOOKUP('Main calculation'!$B$34,'Monetary Values'!$D$3:$G$67,60,FALSE)</f>
        <v>4.451350373238741</v>
      </c>
      <c r="F18" s="412"/>
      <c r="H18" s="251"/>
      <c r="I18" s="251"/>
      <c r="J18" s="251"/>
      <c r="K18" s="251"/>
      <c r="L18" s="253"/>
      <c r="M18" s="251"/>
      <c r="N18" s="251"/>
      <c r="O18" s="251"/>
      <c r="P18" s="251"/>
      <c r="Q18" s="251"/>
      <c r="R18" s="251"/>
      <c r="S18" s="246"/>
      <c r="T18" s="192"/>
    </row>
    <row r="19" spans="1:20" ht="15">
      <c r="A19" s="232" t="s">
        <v>72</v>
      </c>
      <c r="B19" s="127">
        <f>HLOOKUP('Main calculation'!$B$34,'Monetary Values'!$D$3:$G$67,49,FALSE)</f>
        <v>856.8849468484575</v>
      </c>
      <c r="C19" s="127">
        <f>HLOOKUP('Main calculation'!$B$34,'Monetary Values'!$D$3:$G$67,58,FALSE)</f>
        <v>17.805401492954964</v>
      </c>
      <c r="D19" s="127">
        <f>HLOOKUP('Main calculation'!$B$34,'Monetary Values'!$D$3:$G$67,53,FALSE)</f>
        <v>5.007769169893583</v>
      </c>
      <c r="E19" s="127">
        <f>HLOOKUP('Main calculation'!$B$34,'Monetary Values'!$D$3:$G$67,61,FALSE)</f>
        <v>3.3385127799290553</v>
      </c>
      <c r="F19" s="413"/>
      <c r="H19" s="251"/>
      <c r="I19" s="251"/>
      <c r="J19" s="251"/>
      <c r="K19" s="251"/>
      <c r="L19" s="253"/>
      <c r="M19" s="251"/>
      <c r="N19" s="251"/>
      <c r="O19" s="251"/>
      <c r="P19" s="251"/>
      <c r="Q19" s="251"/>
      <c r="R19" s="251"/>
      <c r="S19" s="246"/>
      <c r="T19" s="192"/>
    </row>
    <row r="20" spans="1:20" ht="15">
      <c r="A20" s="232" t="s">
        <v>100</v>
      </c>
      <c r="B20" s="124">
        <f>(B18+B19)/2</f>
        <v>1096.1450294100398</v>
      </c>
      <c r="C20" s="127">
        <f>(C18+C19)/2</f>
        <v>21.143914272884018</v>
      </c>
      <c r="D20" s="127">
        <f>(D18+D19)/2</f>
        <v>6.398816161530689</v>
      </c>
      <c r="E20" s="127">
        <f>(E18+E19)/2</f>
        <v>3.894931576583898</v>
      </c>
      <c r="F20" s="413"/>
      <c r="H20" s="251"/>
      <c r="I20" s="251"/>
      <c r="J20" s="251"/>
      <c r="K20" s="251"/>
      <c r="L20" s="253"/>
      <c r="M20" s="251"/>
      <c r="N20" s="251"/>
      <c r="O20" s="251"/>
      <c r="P20" s="251"/>
      <c r="Q20" s="251"/>
      <c r="R20" s="251"/>
      <c r="S20" s="246"/>
      <c r="T20" s="192"/>
    </row>
    <row r="21" spans="1:20" ht="15">
      <c r="A21" s="232" t="s">
        <v>73</v>
      </c>
      <c r="B21" s="124">
        <f>HLOOKUP('Main calculation'!$B$34,'Monetary Values'!$D$3:$G$67,50,FALSE)</f>
        <v>612.0606763203268</v>
      </c>
      <c r="C21" s="127">
        <f>HLOOKUP('Main calculation'!$B$34,'Monetary Values'!$D$3:$G$67,59,FALSE)</f>
        <v>11.128375933096851</v>
      </c>
      <c r="D21" s="127">
        <f>HLOOKUP('Main calculation'!$B$34,'Monetary Values'!$D$3:$G$67,54,FALSE)</f>
        <v>3.3385127799290553</v>
      </c>
      <c r="E21" s="127">
        <f>HLOOKUP('Main calculation'!$B$34,'Monetary Values'!$D$3:$G$67,62,FALSE)</f>
        <v>2.2256751866193705</v>
      </c>
      <c r="F21" s="413"/>
      <c r="G21" s="102"/>
      <c r="H21" s="251"/>
      <c r="I21" s="251"/>
      <c r="J21" s="251"/>
      <c r="K21" s="251"/>
      <c r="L21" s="253"/>
      <c r="M21" s="251"/>
      <c r="N21" s="251"/>
      <c r="O21" s="251"/>
      <c r="P21" s="251"/>
      <c r="Q21" s="251"/>
      <c r="R21" s="251"/>
      <c r="S21" s="246"/>
      <c r="T21" s="192"/>
    </row>
    <row r="22" spans="1:20" ht="15">
      <c r="A22" s="232" t="s">
        <v>74</v>
      </c>
      <c r="B22" s="125">
        <f>HLOOKUP('Main calculation'!$B$34,'Monetary Values'!$D$3:$G$67,51,FALSE)</f>
        <v>389.4931576583898</v>
      </c>
      <c r="C22" s="128">
        <f>HLOOKUP('Main calculation'!$B$34,'Monetary Values'!$D$3:$G$67,60,FALSE)</f>
        <v>4.451350373238741</v>
      </c>
      <c r="D22" s="128">
        <f>HLOOKUP('Main calculation'!$B$34,'Monetary Values'!$D$3:$G$67,55,FALSE)</f>
        <v>2.2256751866193705</v>
      </c>
      <c r="E22" s="128">
        <f>HLOOKUP('Main calculation'!$B$34,'Monetary Values'!$D$3:$G$67,63,FALSE)</f>
        <v>1.6692563899645276</v>
      </c>
      <c r="F22" s="414"/>
      <c r="G22" s="102"/>
      <c r="H22" s="251"/>
      <c r="I22" s="251"/>
      <c r="J22" s="251"/>
      <c r="K22" s="251"/>
      <c r="L22" s="253"/>
      <c r="M22" s="251"/>
      <c r="N22" s="251"/>
      <c r="O22" s="251"/>
      <c r="P22" s="251"/>
      <c r="Q22" s="251"/>
      <c r="R22" s="251"/>
      <c r="S22" s="246"/>
      <c r="T22" s="192"/>
    </row>
    <row r="23" spans="1:20" ht="15">
      <c r="A23" s="233" t="s">
        <v>176</v>
      </c>
      <c r="B23" s="236">
        <f>IF($B$14&lt;50000,B22,IF($B$14&lt;200000,B21,IF($B$14&gt;199999,B20)))</f>
        <v>612.0606763203268</v>
      </c>
      <c r="C23" s="237">
        <f>IF($B$14&lt;50000,C22,IF($B$14&lt;200000,C21,IF($B$14&gt;199999,C20)))</f>
        <v>11.128375933096851</v>
      </c>
      <c r="D23" s="237">
        <f>IF($B$14&lt;50000,D22,IF($B$14&lt;200000,D21,IF($B$14&gt;199999,D20)))</f>
        <v>3.3385127799290553</v>
      </c>
      <c r="E23" s="237">
        <f>IF($B$14&lt;50000,E22,IF($B$14&lt;200000,E21,IF($B$14&gt;199999,E20)))</f>
        <v>2.2256751866193705</v>
      </c>
      <c r="F23" s="238">
        <f>HLOOKUP('Main calculation'!$B$34,'Monetary Values'!$D$3:$G$67,65,FALSE)</f>
        <v>0.16136145102990435</v>
      </c>
      <c r="H23" s="165"/>
      <c r="I23" s="165"/>
      <c r="J23" s="165"/>
      <c r="K23" s="165"/>
      <c r="L23" s="165"/>
      <c r="M23" s="165"/>
      <c r="N23" s="165"/>
      <c r="O23" s="165"/>
      <c r="P23" s="165"/>
      <c r="Q23" s="165"/>
      <c r="R23" s="165"/>
      <c r="S23" s="244"/>
      <c r="T23" s="191"/>
    </row>
    <row r="24" spans="1:20" ht="15">
      <c r="A24" s="232" t="s">
        <v>154</v>
      </c>
      <c r="B24" s="180"/>
      <c r="C24" s="181"/>
      <c r="D24" s="181"/>
      <c r="E24" s="181"/>
      <c r="F24" s="182"/>
      <c r="H24" s="165"/>
      <c r="I24" s="165"/>
      <c r="J24" s="165"/>
      <c r="K24" s="165"/>
      <c r="L24" s="165"/>
      <c r="M24" s="165"/>
      <c r="N24" s="165"/>
      <c r="O24" s="165"/>
      <c r="P24" s="165"/>
      <c r="Q24" s="165"/>
      <c r="R24" s="165"/>
      <c r="S24" s="244"/>
      <c r="T24" s="191"/>
    </row>
    <row r="25" spans="1:20" ht="15">
      <c r="A25" s="232" t="s">
        <v>155</v>
      </c>
      <c r="B25" s="180"/>
      <c r="C25" s="181"/>
      <c r="D25" s="181"/>
      <c r="E25" s="181"/>
      <c r="F25" s="182"/>
      <c r="H25" s="165"/>
      <c r="I25" s="165"/>
      <c r="J25" s="165"/>
      <c r="K25" s="165"/>
      <c r="L25" s="165"/>
      <c r="M25" s="165"/>
      <c r="N25" s="165"/>
      <c r="O25" s="165"/>
      <c r="P25" s="165"/>
      <c r="Q25" s="165"/>
      <c r="R25" s="165"/>
      <c r="S25" s="244"/>
      <c r="T25" s="191"/>
    </row>
    <row r="26" spans="1:20" ht="15">
      <c r="A26" s="101"/>
      <c r="H26" s="247"/>
      <c r="I26" s="247"/>
      <c r="J26" s="247"/>
      <c r="K26" s="247"/>
      <c r="L26" s="247"/>
      <c r="M26" s="247"/>
      <c r="N26" s="247"/>
      <c r="O26" s="247"/>
      <c r="P26" s="247"/>
      <c r="Q26" s="247"/>
      <c r="R26" s="248"/>
      <c r="S26" s="191"/>
      <c r="T26" s="191"/>
    </row>
    <row r="27" spans="2:18" ht="18.75">
      <c r="B27" s="306" t="s">
        <v>1</v>
      </c>
      <c r="C27" s="307"/>
      <c r="D27" s="307"/>
      <c r="E27" s="307"/>
      <c r="F27" s="307"/>
      <c r="G27" s="307"/>
      <c r="H27" s="307"/>
      <c r="I27" s="307"/>
      <c r="J27" s="109"/>
      <c r="K27" s="308" t="s">
        <v>2</v>
      </c>
      <c r="L27" s="309"/>
      <c r="M27" s="309"/>
      <c r="N27" s="309"/>
      <c r="O27" s="309"/>
      <c r="P27" s="309"/>
      <c r="Q27" s="309"/>
      <c r="R27" s="309"/>
    </row>
    <row r="28" spans="2:21" ht="60">
      <c r="B28" s="129" t="s">
        <v>0</v>
      </c>
      <c r="C28" s="223" t="s">
        <v>153</v>
      </c>
      <c r="D28" s="223" t="s">
        <v>156</v>
      </c>
      <c r="E28" s="223" t="s">
        <v>157</v>
      </c>
      <c r="F28" s="223" t="s">
        <v>158</v>
      </c>
      <c r="G28" s="223" t="s">
        <v>159</v>
      </c>
      <c r="H28" s="223" t="s">
        <v>160</v>
      </c>
      <c r="I28" s="223" t="s">
        <v>291</v>
      </c>
      <c r="J28" s="130"/>
      <c r="K28" s="129" t="s">
        <v>0</v>
      </c>
      <c r="L28" s="223" t="s">
        <v>153</v>
      </c>
      <c r="M28" s="223" t="s">
        <v>156</v>
      </c>
      <c r="N28" s="223" t="s">
        <v>157</v>
      </c>
      <c r="O28" s="223" t="s">
        <v>158</v>
      </c>
      <c r="P28" s="223" t="s">
        <v>159</v>
      </c>
      <c r="Q28" s="223" t="s">
        <v>160</v>
      </c>
      <c r="R28" s="223" t="s">
        <v>291</v>
      </c>
      <c r="S28" s="3"/>
      <c r="T28" s="3"/>
      <c r="U28" s="3"/>
    </row>
    <row r="29" spans="1:21" ht="15">
      <c r="A29" s="256">
        <f>IF('Main calculation'!$B$36=2013,"Starting year --&gt;","")</f>
      </c>
      <c r="B29" s="5">
        <f>'Main calculation'!C43</f>
        <v>2013</v>
      </c>
      <c r="C29" s="93"/>
      <c r="D29" s="344">
        <f aca="true" t="shared" si="0" ref="D29:H30">$C29*B$25*B$23/1000</f>
        <v>0</v>
      </c>
      <c r="E29" s="344">
        <f t="shared" si="0"/>
        <v>0</v>
      </c>
      <c r="F29" s="344">
        <f t="shared" si="0"/>
        <v>0</v>
      </c>
      <c r="G29" s="344">
        <f t="shared" si="0"/>
        <v>0</v>
      </c>
      <c r="H29" s="344">
        <f t="shared" si="0"/>
        <v>0</v>
      </c>
      <c r="I29" s="110">
        <f>SUM(D29:H29)</f>
        <v>0</v>
      </c>
      <c r="J29" s="112"/>
      <c r="K29" s="5">
        <f>'Main calculation'!C43</f>
        <v>2013</v>
      </c>
      <c r="L29" s="93"/>
      <c r="M29" s="344">
        <f>$L29*B$24*B$23/1000</f>
        <v>0</v>
      </c>
      <c r="N29" s="344">
        <f>$L29*C$24*C$23/1000</f>
        <v>0</v>
      </c>
      <c r="O29" s="344">
        <f>$L29*D$24*D$23/1000</f>
        <v>0</v>
      </c>
      <c r="P29" s="344">
        <f>$L29*E$24*E$23/1000</f>
        <v>0</v>
      </c>
      <c r="Q29" s="344">
        <f>$L29*F$24*F$23/1000</f>
        <v>0</v>
      </c>
      <c r="R29" s="110">
        <f>SUM(M29:Q29)</f>
        <v>0</v>
      </c>
      <c r="S29" s="163"/>
      <c r="T29" s="163"/>
      <c r="U29" s="163"/>
    </row>
    <row r="30" spans="1:21" ht="15">
      <c r="A30" s="256" t="str">
        <f>IF('Main calculation'!$B$36=2014,"Starting year --&gt;","")</f>
        <v>Starting year --&gt;</v>
      </c>
      <c r="B30" s="5">
        <f>'Main calculation'!C44</f>
        <v>2014</v>
      </c>
      <c r="C30" s="93"/>
      <c r="D30" s="344">
        <f t="shared" si="0"/>
        <v>0</v>
      </c>
      <c r="E30" s="344">
        <f t="shared" si="0"/>
        <v>0</v>
      </c>
      <c r="F30" s="344">
        <f t="shared" si="0"/>
        <v>0</v>
      </c>
      <c r="G30" s="344">
        <f t="shared" si="0"/>
        <v>0</v>
      </c>
      <c r="H30" s="344">
        <f t="shared" si="0"/>
        <v>0</v>
      </c>
      <c r="I30" s="110">
        <f>SUM(D30:H30)</f>
        <v>0</v>
      </c>
      <c r="J30" s="112"/>
      <c r="K30" s="5">
        <f>'Main calculation'!C44</f>
        <v>2014</v>
      </c>
      <c r="L30" s="93"/>
      <c r="M30" s="344">
        <f>$L30*B$24*B$23/1000</f>
        <v>0</v>
      </c>
      <c r="N30" s="344">
        <f>$L30*C$24*C$23/1000</f>
        <v>0</v>
      </c>
      <c r="O30" s="344">
        <f>$L30*D$24*D$23/1000</f>
        <v>0</v>
      </c>
      <c r="P30" s="344">
        <f>$L30*E$24*E$23/1000</f>
        <v>0</v>
      </c>
      <c r="Q30" s="344">
        <f>$L30*F$24*F$23/1000</f>
        <v>0</v>
      </c>
      <c r="R30" s="110">
        <f>SUM(M30:Q30)</f>
        <v>0</v>
      </c>
      <c r="S30" s="163"/>
      <c r="T30" s="163"/>
      <c r="U30" s="163"/>
    </row>
    <row r="31" spans="1:21" ht="15">
      <c r="A31" s="256">
        <f>IF('Main calculation'!$B$36=2015,"Starting year --&gt;","")</f>
      </c>
      <c r="B31" s="5">
        <f>'Main calculation'!C45</f>
        <v>2015</v>
      </c>
      <c r="C31" s="93"/>
      <c r="D31" s="344">
        <f aca="true" t="shared" si="1" ref="D31:D46">$C31*B$25*B$23/1000</f>
        <v>0</v>
      </c>
      <c r="E31" s="344">
        <f aca="true" t="shared" si="2" ref="E31:E46">$C31*C$25*C$23/1000</f>
        <v>0</v>
      </c>
      <c r="F31" s="344">
        <f aca="true" t="shared" si="3" ref="F31:F46">$C31*D$25*D$23/1000</f>
        <v>0</v>
      </c>
      <c r="G31" s="344">
        <f aca="true" t="shared" si="4" ref="G31:G46">$C31*E$25*E$23/1000</f>
        <v>0</v>
      </c>
      <c r="H31" s="344">
        <f aca="true" t="shared" si="5" ref="H31:H46">$C31*F$25*F$23/1000</f>
        <v>0</v>
      </c>
      <c r="I31" s="110">
        <f>SUM(D31:H31)</f>
        <v>0</v>
      </c>
      <c r="J31" s="130"/>
      <c r="K31" s="5">
        <f>'Main calculation'!C45</f>
        <v>2015</v>
      </c>
      <c r="L31" s="93"/>
      <c r="M31" s="344">
        <f>$L31*B$24*B$23/1000</f>
        <v>0</v>
      </c>
      <c r="N31" s="344">
        <f>$L31*C$24*C$23/1000</f>
        <v>0</v>
      </c>
      <c r="O31" s="344">
        <f>$L31*D$24*D$23/1000</f>
        <v>0</v>
      </c>
      <c r="P31" s="344">
        <f>$L31*E$24*E$23/1000</f>
        <v>0</v>
      </c>
      <c r="Q31" s="344">
        <f>$L31*F$24*F$23/1000</f>
        <v>0</v>
      </c>
      <c r="R31" s="110">
        <f aca="true" t="shared" si="6" ref="R31:R46">SUM(M31:Q31)</f>
        <v>0</v>
      </c>
      <c r="S31" s="4"/>
      <c r="T31" s="4"/>
      <c r="U31" s="4"/>
    </row>
    <row r="32" spans="1:21" ht="15">
      <c r="A32" s="256">
        <f>IF('Main calculation'!$B$36=2016,"Starting year --&gt;","")</f>
      </c>
      <c r="B32" s="5">
        <f>'Main calculation'!C46</f>
        <v>2016</v>
      </c>
      <c r="C32" s="93"/>
      <c r="D32" s="344">
        <f t="shared" si="1"/>
        <v>0</v>
      </c>
      <c r="E32" s="344">
        <f t="shared" si="2"/>
        <v>0</v>
      </c>
      <c r="F32" s="344">
        <f t="shared" si="3"/>
        <v>0</v>
      </c>
      <c r="G32" s="344">
        <f t="shared" si="4"/>
        <v>0</v>
      </c>
      <c r="H32" s="344">
        <f t="shared" si="5"/>
        <v>0</v>
      </c>
      <c r="I32" s="110">
        <f aca="true" t="shared" si="7" ref="I32:I46">SUM(D32:H32)</f>
        <v>0</v>
      </c>
      <c r="J32" s="130"/>
      <c r="K32" s="5">
        <f>'Main calculation'!C46</f>
        <v>2016</v>
      </c>
      <c r="L32" s="93"/>
      <c r="M32" s="344">
        <f>$L32*B$24*B$23/1000</f>
        <v>0</v>
      </c>
      <c r="N32" s="344">
        <f>$L32*C$24*C$23/1000</f>
        <v>0</v>
      </c>
      <c r="O32" s="344">
        <f>$L32*D$24*D$23/1000</f>
        <v>0</v>
      </c>
      <c r="P32" s="344">
        <f>$L32*E$24*E$23/1000</f>
        <v>0</v>
      </c>
      <c r="Q32" s="344">
        <f>$L32*F$24*F$23/1000</f>
        <v>0</v>
      </c>
      <c r="R32" s="110">
        <f t="shared" si="6"/>
        <v>0</v>
      </c>
      <c r="S32" s="4"/>
      <c r="T32" s="4"/>
      <c r="U32" s="4"/>
    </row>
    <row r="33" spans="1:21" ht="15">
      <c r="A33" s="256">
        <f>IF('Main calculation'!$B$36=2017,"Starting year --&gt;","")</f>
      </c>
      <c r="B33" s="5">
        <f>'Main calculation'!C47</f>
        <v>2017</v>
      </c>
      <c r="C33" s="93"/>
      <c r="D33" s="344">
        <f t="shared" si="1"/>
        <v>0</v>
      </c>
      <c r="E33" s="344">
        <f t="shared" si="2"/>
        <v>0</v>
      </c>
      <c r="F33" s="344">
        <f t="shared" si="3"/>
        <v>0</v>
      </c>
      <c r="G33" s="344">
        <f t="shared" si="4"/>
        <v>0</v>
      </c>
      <c r="H33" s="344">
        <f t="shared" si="5"/>
        <v>0</v>
      </c>
      <c r="I33" s="110">
        <f t="shared" si="7"/>
        <v>0</v>
      </c>
      <c r="J33" s="130"/>
      <c r="K33" s="5">
        <f>'Main calculation'!C47</f>
        <v>2017</v>
      </c>
      <c r="L33" s="93"/>
      <c r="M33" s="344">
        <f>$L33*B$24*B$23/1000</f>
        <v>0</v>
      </c>
      <c r="N33" s="344">
        <f>$L33*C$24*C$23/1000</f>
        <v>0</v>
      </c>
      <c r="O33" s="344">
        <f>$L33*D$24*D$23/1000</f>
        <v>0</v>
      </c>
      <c r="P33" s="344">
        <f>$L33*E$24*E$23/1000</f>
        <v>0</v>
      </c>
      <c r="Q33" s="344">
        <f>$L33*F$24*F$23/1000</f>
        <v>0</v>
      </c>
      <c r="R33" s="110">
        <f t="shared" si="6"/>
        <v>0</v>
      </c>
      <c r="S33" s="4"/>
      <c r="T33" s="4"/>
      <c r="U33" s="4"/>
    </row>
    <row r="34" spans="1:21" ht="15">
      <c r="A34" s="256">
        <f>IF('Main calculation'!$B$36=2018,"Starting year --&gt;","")</f>
      </c>
      <c r="B34" s="5">
        <f>'Main calculation'!C48</f>
        <v>2018</v>
      </c>
      <c r="C34" s="93"/>
      <c r="D34" s="344">
        <f t="shared" si="1"/>
        <v>0</v>
      </c>
      <c r="E34" s="344">
        <f t="shared" si="2"/>
        <v>0</v>
      </c>
      <c r="F34" s="344">
        <f t="shared" si="3"/>
        <v>0</v>
      </c>
      <c r="G34" s="344">
        <f t="shared" si="4"/>
        <v>0</v>
      </c>
      <c r="H34" s="344">
        <f t="shared" si="5"/>
        <v>0</v>
      </c>
      <c r="I34" s="110">
        <f t="shared" si="7"/>
        <v>0</v>
      </c>
      <c r="J34" s="130"/>
      <c r="K34" s="5">
        <f>'Main calculation'!C48</f>
        <v>2018</v>
      </c>
      <c r="L34" s="93"/>
      <c r="M34" s="344">
        <f>$L34*B$24*B$23/1000</f>
        <v>0</v>
      </c>
      <c r="N34" s="344">
        <f>$L34*C$24*C$23/1000</f>
        <v>0</v>
      </c>
      <c r="O34" s="344">
        <f>$L34*D$24*D$23/1000</f>
        <v>0</v>
      </c>
      <c r="P34" s="344">
        <f>$L34*E$24*E$23/1000</f>
        <v>0</v>
      </c>
      <c r="Q34" s="344">
        <f>$L34*F$24*F$23/1000</f>
        <v>0</v>
      </c>
      <c r="R34" s="110">
        <f t="shared" si="6"/>
        <v>0</v>
      </c>
      <c r="S34" s="4"/>
      <c r="T34" s="4"/>
      <c r="U34" s="4"/>
    </row>
    <row r="35" spans="1:21" ht="15">
      <c r="A35" s="256">
        <f>IF('Main calculation'!$B$36=2019,"Starting year --&gt;","")</f>
      </c>
      <c r="B35" s="5">
        <f>'Main calculation'!C49</f>
        <v>2019</v>
      </c>
      <c r="C35" s="93"/>
      <c r="D35" s="344">
        <f t="shared" si="1"/>
        <v>0</v>
      </c>
      <c r="E35" s="344">
        <f t="shared" si="2"/>
        <v>0</v>
      </c>
      <c r="F35" s="344">
        <f t="shared" si="3"/>
        <v>0</v>
      </c>
      <c r="G35" s="344">
        <f t="shared" si="4"/>
        <v>0</v>
      </c>
      <c r="H35" s="344">
        <f t="shared" si="5"/>
        <v>0</v>
      </c>
      <c r="I35" s="110">
        <f t="shared" si="7"/>
        <v>0</v>
      </c>
      <c r="J35" s="130"/>
      <c r="K35" s="5">
        <f>'Main calculation'!C49</f>
        <v>2019</v>
      </c>
      <c r="L35" s="93"/>
      <c r="M35" s="344">
        <f>$L35*B$24*B$23/1000</f>
        <v>0</v>
      </c>
      <c r="N35" s="344">
        <f>$L35*C$24*C$23/1000</f>
        <v>0</v>
      </c>
      <c r="O35" s="344">
        <f>$L35*D$24*D$23/1000</f>
        <v>0</v>
      </c>
      <c r="P35" s="344">
        <f>$L35*E$24*E$23/1000</f>
        <v>0</v>
      </c>
      <c r="Q35" s="344">
        <f>$L35*F$24*F$23/1000</f>
        <v>0</v>
      </c>
      <c r="R35" s="110">
        <f t="shared" si="6"/>
        <v>0</v>
      </c>
      <c r="S35" s="4"/>
      <c r="T35" s="4"/>
      <c r="U35" s="4"/>
    </row>
    <row r="36" spans="1:21" ht="15">
      <c r="A36" s="256">
        <f>IF('Main calculation'!$B$36=2020,"Starting year --&gt;","")</f>
      </c>
      <c r="B36" s="5">
        <f>'Main calculation'!C50</f>
        <v>2020</v>
      </c>
      <c r="C36" s="93"/>
      <c r="D36" s="344">
        <f t="shared" si="1"/>
        <v>0</v>
      </c>
      <c r="E36" s="344">
        <f t="shared" si="2"/>
        <v>0</v>
      </c>
      <c r="F36" s="344">
        <f t="shared" si="3"/>
        <v>0</v>
      </c>
      <c r="G36" s="344">
        <f t="shared" si="4"/>
        <v>0</v>
      </c>
      <c r="H36" s="344">
        <f t="shared" si="5"/>
        <v>0</v>
      </c>
      <c r="I36" s="110">
        <f t="shared" si="7"/>
        <v>0</v>
      </c>
      <c r="J36" s="130"/>
      <c r="K36" s="5">
        <f>'Main calculation'!C50</f>
        <v>2020</v>
      </c>
      <c r="L36" s="93"/>
      <c r="M36" s="344">
        <f>$L36*B$24*B$23/1000</f>
        <v>0</v>
      </c>
      <c r="N36" s="344">
        <f>$L36*C$24*C$23/1000</f>
        <v>0</v>
      </c>
      <c r="O36" s="344">
        <f>$L36*D$24*D$23/1000</f>
        <v>0</v>
      </c>
      <c r="P36" s="344">
        <f>$L36*E$24*E$23/1000</f>
        <v>0</v>
      </c>
      <c r="Q36" s="344">
        <f>$L36*F$24*F$23/1000</f>
        <v>0</v>
      </c>
      <c r="R36" s="110">
        <f t="shared" si="6"/>
        <v>0</v>
      </c>
      <c r="S36" s="4"/>
      <c r="T36" s="4"/>
      <c r="U36" s="4"/>
    </row>
    <row r="37" spans="1:21" ht="15">
      <c r="A37" s="256">
        <f>IF('Main calculation'!$B$36=2021,"Starting year --&gt;","")</f>
      </c>
      <c r="B37" s="5">
        <f>'Main calculation'!C51</f>
        <v>2021</v>
      </c>
      <c r="C37" s="93"/>
      <c r="D37" s="344">
        <f t="shared" si="1"/>
        <v>0</v>
      </c>
      <c r="E37" s="344">
        <f t="shared" si="2"/>
        <v>0</v>
      </c>
      <c r="F37" s="344">
        <f t="shared" si="3"/>
        <v>0</v>
      </c>
      <c r="G37" s="344">
        <f t="shared" si="4"/>
        <v>0</v>
      </c>
      <c r="H37" s="344">
        <f t="shared" si="5"/>
        <v>0</v>
      </c>
      <c r="I37" s="110">
        <f t="shared" si="7"/>
        <v>0</v>
      </c>
      <c r="J37" s="130"/>
      <c r="K37" s="5">
        <f>'Main calculation'!C51</f>
        <v>2021</v>
      </c>
      <c r="L37" s="93"/>
      <c r="M37" s="344">
        <f>$L37*B$24*B$23/1000</f>
        <v>0</v>
      </c>
      <c r="N37" s="344">
        <f>$L37*C$24*C$23/1000</f>
        <v>0</v>
      </c>
      <c r="O37" s="344">
        <f>$L37*D$24*D$23/1000</f>
        <v>0</v>
      </c>
      <c r="P37" s="344">
        <f>$L37*E$24*E$23/1000</f>
        <v>0</v>
      </c>
      <c r="Q37" s="344">
        <f>$L37*F$24*F$23/1000</f>
        <v>0</v>
      </c>
      <c r="R37" s="110">
        <f t="shared" si="6"/>
        <v>0</v>
      </c>
      <c r="S37" s="4"/>
      <c r="T37" s="4"/>
      <c r="U37" s="4"/>
    </row>
    <row r="38" spans="1:21" ht="15">
      <c r="A38" s="256">
        <f>IF('Main calculation'!$B$36=2022,"Starting year --&gt;","")</f>
      </c>
      <c r="B38" s="5">
        <f>'Main calculation'!C52</f>
        <v>2022</v>
      </c>
      <c r="C38" s="93"/>
      <c r="D38" s="344">
        <f t="shared" si="1"/>
        <v>0</v>
      </c>
      <c r="E38" s="344">
        <f t="shared" si="2"/>
        <v>0</v>
      </c>
      <c r="F38" s="344">
        <f t="shared" si="3"/>
        <v>0</v>
      </c>
      <c r="G38" s="344">
        <f t="shared" si="4"/>
        <v>0</v>
      </c>
      <c r="H38" s="344">
        <f t="shared" si="5"/>
        <v>0</v>
      </c>
      <c r="I38" s="110">
        <f t="shared" si="7"/>
        <v>0</v>
      </c>
      <c r="J38" s="130"/>
      <c r="K38" s="5">
        <f>'Main calculation'!C52</f>
        <v>2022</v>
      </c>
      <c r="L38" s="93"/>
      <c r="M38" s="344">
        <f>$L38*B$24*B$23/1000</f>
        <v>0</v>
      </c>
      <c r="N38" s="344">
        <f>$L38*C$24*C$23/1000</f>
        <v>0</v>
      </c>
      <c r="O38" s="344">
        <f>$L38*D$24*D$23/1000</f>
        <v>0</v>
      </c>
      <c r="P38" s="344">
        <f>$L38*E$24*E$23/1000</f>
        <v>0</v>
      </c>
      <c r="Q38" s="344">
        <f>$L38*F$24*F$23/1000</f>
        <v>0</v>
      </c>
      <c r="R38" s="110">
        <f t="shared" si="6"/>
        <v>0</v>
      </c>
      <c r="S38" s="4"/>
      <c r="T38" s="4"/>
      <c r="U38" s="4"/>
    </row>
    <row r="39" spans="1:21" ht="15">
      <c r="A39" s="256">
        <f>IF('Main calculation'!$B$36=2023,"Starting year --&gt;","")</f>
      </c>
      <c r="B39" s="5">
        <f>'Main calculation'!C53</f>
        <v>2023</v>
      </c>
      <c r="C39" s="93"/>
      <c r="D39" s="344">
        <f t="shared" si="1"/>
        <v>0</v>
      </c>
      <c r="E39" s="344">
        <f t="shared" si="2"/>
        <v>0</v>
      </c>
      <c r="F39" s="344">
        <f t="shared" si="3"/>
        <v>0</v>
      </c>
      <c r="G39" s="344">
        <f t="shared" si="4"/>
        <v>0</v>
      </c>
      <c r="H39" s="344">
        <f t="shared" si="5"/>
        <v>0</v>
      </c>
      <c r="I39" s="110">
        <f t="shared" si="7"/>
        <v>0</v>
      </c>
      <c r="J39" s="130"/>
      <c r="K39" s="5">
        <f>'Main calculation'!C53</f>
        <v>2023</v>
      </c>
      <c r="L39" s="93"/>
      <c r="M39" s="344">
        <f>$L39*B$24*B$23/1000</f>
        <v>0</v>
      </c>
      <c r="N39" s="344">
        <f>$L39*C$24*C$23/1000</f>
        <v>0</v>
      </c>
      <c r="O39" s="344">
        <f>$L39*D$24*D$23/1000</f>
        <v>0</v>
      </c>
      <c r="P39" s="344">
        <f>$L39*E$24*E$23/1000</f>
        <v>0</v>
      </c>
      <c r="Q39" s="344">
        <f>$L39*F$24*F$23/1000</f>
        <v>0</v>
      </c>
      <c r="R39" s="110">
        <f t="shared" si="6"/>
        <v>0</v>
      </c>
      <c r="S39" s="4"/>
      <c r="T39" s="4"/>
      <c r="U39" s="4"/>
    </row>
    <row r="40" spans="1:21" ht="15">
      <c r="A40" s="256">
        <f>IF('Main calculation'!$B$36=2024,"Starting year --&gt;","")</f>
      </c>
      <c r="B40" s="5">
        <f>'Main calculation'!C54</f>
        <v>2024</v>
      </c>
      <c r="C40" s="93"/>
      <c r="D40" s="344">
        <f t="shared" si="1"/>
        <v>0</v>
      </c>
      <c r="E40" s="344">
        <f t="shared" si="2"/>
        <v>0</v>
      </c>
      <c r="F40" s="344">
        <f t="shared" si="3"/>
        <v>0</v>
      </c>
      <c r="G40" s="344">
        <f t="shared" si="4"/>
        <v>0</v>
      </c>
      <c r="H40" s="344">
        <f t="shared" si="5"/>
        <v>0</v>
      </c>
      <c r="I40" s="110">
        <f t="shared" si="7"/>
        <v>0</v>
      </c>
      <c r="J40" s="130"/>
      <c r="K40" s="5">
        <f>'Main calculation'!C54</f>
        <v>2024</v>
      </c>
      <c r="L40" s="93"/>
      <c r="M40" s="344">
        <f>$L40*B$24*B$23/1000</f>
        <v>0</v>
      </c>
      <c r="N40" s="344">
        <f>$L40*C$24*C$23/1000</f>
        <v>0</v>
      </c>
      <c r="O40" s="344">
        <f>$L40*D$24*D$23/1000</f>
        <v>0</v>
      </c>
      <c r="P40" s="344">
        <f>$L40*E$24*E$23/1000</f>
        <v>0</v>
      </c>
      <c r="Q40" s="344">
        <f>$L40*F$24*F$23/1000</f>
        <v>0</v>
      </c>
      <c r="R40" s="110">
        <f t="shared" si="6"/>
        <v>0</v>
      </c>
      <c r="S40" s="4"/>
      <c r="T40" s="4"/>
      <c r="U40" s="4"/>
    </row>
    <row r="41" spans="1:21" ht="15">
      <c r="A41" s="256">
        <f>IF('Main calculation'!$B$36=2025,"Starting year --&gt;","")</f>
      </c>
      <c r="B41" s="5">
        <f>'Main calculation'!C55</f>
        <v>2025</v>
      </c>
      <c r="C41" s="93"/>
      <c r="D41" s="344">
        <f t="shared" si="1"/>
        <v>0</v>
      </c>
      <c r="E41" s="344">
        <f t="shared" si="2"/>
        <v>0</v>
      </c>
      <c r="F41" s="344">
        <f t="shared" si="3"/>
        <v>0</v>
      </c>
      <c r="G41" s="344">
        <f t="shared" si="4"/>
        <v>0</v>
      </c>
      <c r="H41" s="344">
        <f t="shared" si="5"/>
        <v>0</v>
      </c>
      <c r="I41" s="110">
        <f t="shared" si="7"/>
        <v>0</v>
      </c>
      <c r="J41" s="130"/>
      <c r="K41" s="5">
        <f>'Main calculation'!C55</f>
        <v>2025</v>
      </c>
      <c r="L41" s="93"/>
      <c r="M41" s="344">
        <f>$L41*B$24*B$23/1000</f>
        <v>0</v>
      </c>
      <c r="N41" s="344">
        <f>$L41*C$24*C$23/1000</f>
        <v>0</v>
      </c>
      <c r="O41" s="344">
        <f>$L41*D$24*D$23/1000</f>
        <v>0</v>
      </c>
      <c r="P41" s="344">
        <f>$L41*E$24*E$23/1000</f>
        <v>0</v>
      </c>
      <c r="Q41" s="344">
        <f>$L41*F$24*F$23/1000</f>
        <v>0</v>
      </c>
      <c r="R41" s="110">
        <f t="shared" si="6"/>
        <v>0</v>
      </c>
      <c r="S41" s="4"/>
      <c r="T41" s="4"/>
      <c r="U41" s="4"/>
    </row>
    <row r="42" spans="1:21" ht="15">
      <c r="A42" s="256">
        <f>IF('Main calculation'!$B$36=2026,"Starting year --&gt;","")</f>
      </c>
      <c r="B42" s="5">
        <f>'Main calculation'!C56</f>
        <v>2026</v>
      </c>
      <c r="C42" s="93"/>
      <c r="D42" s="344">
        <f t="shared" si="1"/>
        <v>0</v>
      </c>
      <c r="E42" s="344">
        <f t="shared" si="2"/>
        <v>0</v>
      </c>
      <c r="F42" s="344">
        <f t="shared" si="3"/>
        <v>0</v>
      </c>
      <c r="G42" s="344">
        <f t="shared" si="4"/>
        <v>0</v>
      </c>
      <c r="H42" s="344">
        <f t="shared" si="5"/>
        <v>0</v>
      </c>
      <c r="I42" s="110">
        <f t="shared" si="7"/>
        <v>0</v>
      </c>
      <c r="J42" s="130"/>
      <c r="K42" s="5">
        <f>'Main calculation'!C56</f>
        <v>2026</v>
      </c>
      <c r="L42" s="93"/>
      <c r="M42" s="344">
        <f>$L42*B$24*B$23/1000</f>
        <v>0</v>
      </c>
      <c r="N42" s="344">
        <f>$L42*C$24*C$23/1000</f>
        <v>0</v>
      </c>
      <c r="O42" s="344">
        <f>$L42*D$24*D$23/1000</f>
        <v>0</v>
      </c>
      <c r="P42" s="344">
        <f>$L42*E$24*E$23/1000</f>
        <v>0</v>
      </c>
      <c r="Q42" s="344">
        <f>$L42*F$24*F$23/1000</f>
        <v>0</v>
      </c>
      <c r="R42" s="110">
        <f t="shared" si="6"/>
        <v>0</v>
      </c>
      <c r="S42" s="4"/>
      <c r="T42" s="4"/>
      <c r="U42" s="4"/>
    </row>
    <row r="43" spans="1:21" ht="15">
      <c r="A43" s="256">
        <f>IF('Main calculation'!$B$36=2027,"Starting year --&gt;","")</f>
      </c>
      <c r="B43" s="5">
        <f>'Main calculation'!C57</f>
        <v>2027</v>
      </c>
      <c r="C43" s="93"/>
      <c r="D43" s="344">
        <f t="shared" si="1"/>
        <v>0</v>
      </c>
      <c r="E43" s="344">
        <f t="shared" si="2"/>
        <v>0</v>
      </c>
      <c r="F43" s="344">
        <f t="shared" si="3"/>
        <v>0</v>
      </c>
      <c r="G43" s="344">
        <f t="shared" si="4"/>
        <v>0</v>
      </c>
      <c r="H43" s="344">
        <f t="shared" si="5"/>
        <v>0</v>
      </c>
      <c r="I43" s="110">
        <f t="shared" si="7"/>
        <v>0</v>
      </c>
      <c r="J43" s="130"/>
      <c r="K43" s="5">
        <f>'Main calculation'!C57</f>
        <v>2027</v>
      </c>
      <c r="L43" s="93"/>
      <c r="M43" s="344">
        <f>$L43*B$24*B$23/1000</f>
        <v>0</v>
      </c>
      <c r="N43" s="344">
        <f>$L43*C$24*C$23/1000</f>
        <v>0</v>
      </c>
      <c r="O43" s="344">
        <f>$L43*D$24*D$23/1000</f>
        <v>0</v>
      </c>
      <c r="P43" s="344">
        <f>$L43*E$24*E$23/1000</f>
        <v>0</v>
      </c>
      <c r="Q43" s="344">
        <f>$L43*F$24*F$23/1000</f>
        <v>0</v>
      </c>
      <c r="R43" s="110">
        <f t="shared" si="6"/>
        <v>0</v>
      </c>
      <c r="S43" s="4"/>
      <c r="T43" s="4"/>
      <c r="U43" s="4"/>
    </row>
    <row r="44" spans="1:21" ht="15">
      <c r="A44" s="256" t="str">
        <f>IF('Main calculation'!$B$37=2028,"Finishing year --&gt;","")</f>
        <v>Finishing year --&gt;</v>
      </c>
      <c r="B44" s="5">
        <f>'Main calculation'!C58</f>
        <v>2028</v>
      </c>
      <c r="C44" s="93"/>
      <c r="D44" s="344">
        <f t="shared" si="1"/>
        <v>0</v>
      </c>
      <c r="E44" s="344">
        <f t="shared" si="2"/>
        <v>0</v>
      </c>
      <c r="F44" s="344">
        <f t="shared" si="3"/>
        <v>0</v>
      </c>
      <c r="G44" s="344">
        <f t="shared" si="4"/>
        <v>0</v>
      </c>
      <c r="H44" s="344">
        <f t="shared" si="5"/>
        <v>0</v>
      </c>
      <c r="I44" s="110">
        <f t="shared" si="7"/>
        <v>0</v>
      </c>
      <c r="J44" s="130"/>
      <c r="K44" s="5">
        <f>'Main calculation'!C58</f>
        <v>2028</v>
      </c>
      <c r="L44" s="93"/>
      <c r="M44" s="344">
        <f>$L44*B$24*B$23/1000</f>
        <v>0</v>
      </c>
      <c r="N44" s="344">
        <f>$L44*C$24*C$23/1000</f>
        <v>0</v>
      </c>
      <c r="O44" s="344">
        <f>$L44*D$24*D$23/1000</f>
        <v>0</v>
      </c>
      <c r="P44" s="344">
        <f>$L44*E$24*E$23/1000</f>
        <v>0</v>
      </c>
      <c r="Q44" s="344">
        <f>$L44*F$24*F$23/1000</f>
        <v>0</v>
      </c>
      <c r="R44" s="110">
        <f t="shared" si="6"/>
        <v>0</v>
      </c>
      <c r="S44" s="4"/>
      <c r="T44" s="4"/>
      <c r="U44" s="4"/>
    </row>
    <row r="45" spans="1:21" ht="15">
      <c r="A45" s="256">
        <f>IF('Main calculation'!$B$37=2029,"Finishing year --&gt;","")</f>
      </c>
      <c r="B45" s="5">
        <f>'Main calculation'!C59</f>
        <v>2029</v>
      </c>
      <c r="C45" s="93"/>
      <c r="D45" s="344">
        <f t="shared" si="1"/>
        <v>0</v>
      </c>
      <c r="E45" s="344">
        <f t="shared" si="2"/>
        <v>0</v>
      </c>
      <c r="F45" s="344">
        <f t="shared" si="3"/>
        <v>0</v>
      </c>
      <c r="G45" s="344">
        <f t="shared" si="4"/>
        <v>0</v>
      </c>
      <c r="H45" s="344">
        <f t="shared" si="5"/>
        <v>0</v>
      </c>
      <c r="I45" s="110">
        <f t="shared" si="7"/>
        <v>0</v>
      </c>
      <c r="J45" s="130"/>
      <c r="K45" s="5">
        <f>'Main calculation'!C59</f>
        <v>2029</v>
      </c>
      <c r="L45" s="93"/>
      <c r="M45" s="344">
        <f>$L45*B$24*B$23/1000</f>
        <v>0</v>
      </c>
      <c r="N45" s="344">
        <f>$L45*C$24*C$23/1000</f>
        <v>0</v>
      </c>
      <c r="O45" s="344">
        <f>$L45*D$24*D$23/1000</f>
        <v>0</v>
      </c>
      <c r="P45" s="344">
        <f>$L45*E$24*E$23/1000</f>
        <v>0</v>
      </c>
      <c r="Q45" s="344">
        <f>$L45*F$24*F$23/1000</f>
        <v>0</v>
      </c>
      <c r="R45" s="110">
        <f t="shared" si="6"/>
        <v>0</v>
      </c>
      <c r="S45" s="4"/>
      <c r="T45" s="4"/>
      <c r="U45" s="4"/>
    </row>
    <row r="46" spans="1:21" ht="15">
      <c r="A46" s="256">
        <f>IF('Main calculation'!$B$37=2030,"Finishing year --&gt;","")</f>
      </c>
      <c r="B46" s="5">
        <f>'Main calculation'!C60</f>
        <v>2030</v>
      </c>
      <c r="C46" s="93"/>
      <c r="D46" s="344">
        <f t="shared" si="1"/>
        <v>0</v>
      </c>
      <c r="E46" s="344">
        <f t="shared" si="2"/>
        <v>0</v>
      </c>
      <c r="F46" s="344">
        <f t="shared" si="3"/>
        <v>0</v>
      </c>
      <c r="G46" s="344">
        <f t="shared" si="4"/>
        <v>0</v>
      </c>
      <c r="H46" s="344">
        <f t="shared" si="5"/>
        <v>0</v>
      </c>
      <c r="I46" s="110">
        <f t="shared" si="7"/>
        <v>0</v>
      </c>
      <c r="J46" s="130"/>
      <c r="K46" s="5">
        <f>'Main calculation'!C60</f>
        <v>2030</v>
      </c>
      <c r="L46" s="93"/>
      <c r="M46" s="344">
        <f>$L46*B$24*B$23/1000</f>
        <v>0</v>
      </c>
      <c r="N46" s="344">
        <f>$L46*C$24*C$23/1000</f>
        <v>0</v>
      </c>
      <c r="O46" s="344">
        <f>$L46*D$24*D$23/1000</f>
        <v>0</v>
      </c>
      <c r="P46" s="344">
        <f>$L46*E$24*E$23/1000</f>
        <v>0</v>
      </c>
      <c r="Q46" s="344">
        <f>$L46*F$24*F$23/1000</f>
        <v>0</v>
      </c>
      <c r="R46" s="110">
        <f t="shared" si="6"/>
        <v>0</v>
      </c>
      <c r="S46" s="4"/>
      <c r="T46" s="4"/>
      <c r="U46" s="4"/>
    </row>
    <row r="47" ht="15">
      <c r="A47" s="256">
        <f>IF('Main calculation'!$B$37=2031,"Finishing year --&gt;","")</f>
      </c>
    </row>
    <row r="48" ht="15">
      <c r="A48" s="256">
        <f>IF('Main calculation'!$B$37=2032,"Finishing year --&gt;","")</f>
      </c>
    </row>
    <row r="49" ht="15">
      <c r="A49" s="256">
        <f>IF('Main calculation'!$B$37=2033,"Finishing year --&gt;","")</f>
      </c>
    </row>
    <row r="51" spans="7:16" ht="15">
      <c r="G51" s="92"/>
      <c r="H51" s="183"/>
      <c r="I51" s="92"/>
      <c r="J51" s="92"/>
      <c r="K51" s="92"/>
      <c r="L51" s="92"/>
      <c r="M51" s="92"/>
      <c r="N51" s="92"/>
      <c r="O51" s="92"/>
      <c r="P51" s="92"/>
    </row>
    <row r="52" spans="7:16" ht="15">
      <c r="G52" s="92"/>
      <c r="H52" s="165"/>
      <c r="I52" s="165"/>
      <c r="J52" s="165"/>
      <c r="K52" s="165"/>
      <c r="L52" s="165"/>
      <c r="M52" s="165"/>
      <c r="N52" s="165"/>
      <c r="O52" s="165"/>
      <c r="P52" s="92"/>
    </row>
    <row r="53" spans="7:16" ht="15">
      <c r="G53" s="92"/>
      <c r="H53" s="184"/>
      <c r="I53" s="184"/>
      <c r="J53" s="185"/>
      <c r="K53" s="184"/>
      <c r="L53" s="184"/>
      <c r="M53" s="184"/>
      <c r="N53" s="184"/>
      <c r="O53" s="184"/>
      <c r="P53" s="92"/>
    </row>
    <row r="54" spans="7:16" ht="15">
      <c r="G54" s="92"/>
      <c r="H54" s="186"/>
      <c r="I54" s="186"/>
      <c r="J54" s="186"/>
      <c r="K54" s="186"/>
      <c r="L54" s="186"/>
      <c r="M54" s="186"/>
      <c r="N54" s="186"/>
      <c r="O54" s="186"/>
      <c r="P54" s="92"/>
    </row>
    <row r="55" spans="7:16" ht="15">
      <c r="G55" s="92"/>
      <c r="H55" s="186"/>
      <c r="I55" s="186"/>
      <c r="J55" s="186"/>
      <c r="K55" s="186"/>
      <c r="L55" s="186"/>
      <c r="M55" s="186"/>
      <c r="N55" s="186"/>
      <c r="O55" s="186"/>
      <c r="P55" s="92"/>
    </row>
    <row r="56" spans="7:16" ht="15">
      <c r="G56" s="92"/>
      <c r="H56" s="186"/>
      <c r="I56" s="186"/>
      <c r="J56" s="186"/>
      <c r="K56" s="186"/>
      <c r="L56" s="186"/>
      <c r="M56" s="186"/>
      <c r="N56" s="186"/>
      <c r="O56" s="186"/>
      <c r="P56" s="92"/>
    </row>
    <row r="57" spans="7:16" ht="15">
      <c r="G57" s="92"/>
      <c r="H57" s="186"/>
      <c r="I57" s="186"/>
      <c r="J57" s="186"/>
      <c r="K57" s="186"/>
      <c r="L57" s="186"/>
      <c r="M57" s="186"/>
      <c r="N57" s="186"/>
      <c r="O57" s="186"/>
      <c r="P57" s="92"/>
    </row>
    <row r="58" spans="7:16" ht="15">
      <c r="G58" s="92"/>
      <c r="H58" s="186"/>
      <c r="I58" s="187"/>
      <c r="J58" s="187"/>
      <c r="K58" s="187"/>
      <c r="L58" s="187"/>
      <c r="M58" s="187"/>
      <c r="N58" s="187"/>
      <c r="O58" s="187"/>
      <c r="P58" s="92"/>
    </row>
    <row r="59" spans="7:16" ht="15">
      <c r="G59" s="92"/>
      <c r="H59" s="186"/>
      <c r="I59" s="186"/>
      <c r="J59" s="186"/>
      <c r="K59" s="186"/>
      <c r="L59" s="186"/>
      <c r="M59" s="186"/>
      <c r="N59" s="186"/>
      <c r="O59" s="189"/>
      <c r="P59" s="92"/>
    </row>
    <row r="60" spans="7:16" ht="15">
      <c r="G60" s="92"/>
      <c r="H60" s="186"/>
      <c r="I60" s="186"/>
      <c r="J60" s="186"/>
      <c r="K60" s="186"/>
      <c r="L60" s="186"/>
      <c r="M60" s="186"/>
      <c r="N60" s="186"/>
      <c r="O60" s="189"/>
      <c r="P60" s="92"/>
    </row>
    <row r="61" spans="7:16" ht="15">
      <c r="G61" s="92"/>
      <c r="H61" s="186"/>
      <c r="I61" s="186"/>
      <c r="J61" s="186"/>
      <c r="K61" s="186"/>
      <c r="L61" s="186"/>
      <c r="M61" s="186"/>
      <c r="N61" s="186"/>
      <c r="O61" s="186"/>
      <c r="P61" s="92"/>
    </row>
    <row r="62" spans="7:16" ht="15">
      <c r="G62" s="92"/>
      <c r="H62" s="186"/>
      <c r="I62" s="186"/>
      <c r="J62" s="186"/>
      <c r="K62" s="186"/>
      <c r="L62" s="186"/>
      <c r="M62" s="186"/>
      <c r="N62" s="186"/>
      <c r="O62" s="186"/>
      <c r="P62" s="92"/>
    </row>
    <row r="63" spans="7:16" ht="15">
      <c r="G63" s="92"/>
      <c r="H63" s="186"/>
      <c r="I63" s="188"/>
      <c r="J63" s="186"/>
      <c r="K63" s="186"/>
      <c r="L63" s="186"/>
      <c r="M63" s="186"/>
      <c r="N63" s="186"/>
      <c r="O63" s="165"/>
      <c r="P63" s="92"/>
    </row>
    <row r="64" spans="7:16" ht="15">
      <c r="G64" s="92"/>
      <c r="H64" s="165"/>
      <c r="I64" s="165"/>
      <c r="J64" s="165"/>
      <c r="K64" s="165"/>
      <c r="L64" s="165"/>
      <c r="M64" s="165"/>
      <c r="N64" s="165"/>
      <c r="O64" s="165"/>
      <c r="P64" s="92"/>
    </row>
    <row r="65" spans="7:16" ht="15">
      <c r="G65" s="92"/>
      <c r="H65" s="165"/>
      <c r="I65" s="165"/>
      <c r="J65" s="165"/>
      <c r="K65" s="165"/>
      <c r="L65" s="165"/>
      <c r="M65" s="165"/>
      <c r="N65" s="165"/>
      <c r="O65" s="165"/>
      <c r="P65" s="92"/>
    </row>
  </sheetData>
  <sheetProtection/>
  <mergeCells count="7">
    <mergeCell ref="J9:K9"/>
    <mergeCell ref="A3:E3"/>
    <mergeCell ref="A12:E12"/>
    <mergeCell ref="A6:E6"/>
    <mergeCell ref="A10:E10"/>
    <mergeCell ref="A11:E11"/>
    <mergeCell ref="A9:E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6"/>
  <sheetViews>
    <sheetView zoomScalePageLayoutView="0" workbookViewId="0" topLeftCell="A16">
      <selection activeCell="K34" sqref="K34"/>
    </sheetView>
  </sheetViews>
  <sheetFormatPr defaultColWidth="9.140625" defaultRowHeight="15"/>
  <cols>
    <col min="1" max="1" width="22.421875" style="0" customWidth="1"/>
    <col min="2" max="2" width="21.8515625" style="0" customWidth="1"/>
    <col min="3" max="4" width="14.140625" style="0" customWidth="1"/>
    <col min="5" max="5" width="14.7109375" style="0" customWidth="1"/>
    <col min="6" max="6" width="15.28125" style="0" customWidth="1"/>
    <col min="8" max="8" width="13.28125" style="0" customWidth="1"/>
    <col min="9" max="9" width="14.7109375" style="0" customWidth="1"/>
    <col min="10" max="10" width="14.28125" style="0" customWidth="1"/>
    <col min="11" max="11" width="15.421875" style="0" customWidth="1"/>
    <col min="12" max="12" width="16.00390625" style="0" customWidth="1"/>
  </cols>
  <sheetData>
    <row r="1" ht="18.75">
      <c r="A1" s="159" t="s">
        <v>274</v>
      </c>
    </row>
    <row r="2" ht="15">
      <c r="A2" s="162" t="s">
        <v>263</v>
      </c>
    </row>
    <row r="3" spans="1:11" ht="45.75" customHeight="1">
      <c r="A3" s="420" t="s">
        <v>293</v>
      </c>
      <c r="B3" s="420"/>
      <c r="C3" s="420"/>
      <c r="D3" s="420"/>
      <c r="E3" s="420"/>
      <c r="F3" s="420"/>
      <c r="G3" s="163"/>
      <c r="H3" s="163"/>
      <c r="I3" s="163"/>
      <c r="J3" s="163"/>
      <c r="K3" s="163"/>
    </row>
    <row r="4" ht="15">
      <c r="A4" s="162"/>
    </row>
    <row r="5" spans="1:2" ht="15">
      <c r="A5" s="162" t="s">
        <v>248</v>
      </c>
      <c r="B5" s="162"/>
    </row>
    <row r="6" ht="15">
      <c r="A6" t="s">
        <v>272</v>
      </c>
    </row>
    <row r="7" ht="15">
      <c r="A7" t="s">
        <v>273</v>
      </c>
    </row>
    <row r="8" spans="1:5" ht="15">
      <c r="A8" s="417" t="s">
        <v>257</v>
      </c>
      <c r="B8" s="417"/>
      <c r="C8" s="417"/>
      <c r="D8" s="417"/>
      <c r="E8" s="417"/>
    </row>
    <row r="10" spans="1:3" ht="15">
      <c r="A10" s="5"/>
      <c r="B10" s="5"/>
      <c r="C10" s="21" t="str">
        <f>HLOOKUP('Main calculation'!$B$34,'Monetary Values'!$D$3:$G$73,67,FALSE)</f>
        <v>EURg/km</v>
      </c>
    </row>
    <row r="11" spans="1:3" ht="15">
      <c r="A11" s="190" t="s">
        <v>178</v>
      </c>
      <c r="B11" s="190"/>
      <c r="C11" s="231">
        <f>HLOOKUP('Main calculation'!$B$34,'Monetary Values'!$D$3:$G$73,71,FALSE)</f>
        <v>0.07810127260733771</v>
      </c>
    </row>
    <row r="12" spans="1:3" ht="15">
      <c r="A12" s="190" t="s">
        <v>177</v>
      </c>
      <c r="B12" s="190"/>
      <c r="C12" s="231">
        <f>HLOOKUP('Main calculation'!$B$34,'Monetary Values'!$D$3:$G$73,65,FALSE)</f>
        <v>0.16136145102990435</v>
      </c>
    </row>
    <row r="14" spans="2:12" ht="18.75">
      <c r="B14" s="306" t="s">
        <v>1</v>
      </c>
      <c r="C14" s="306"/>
      <c r="D14" s="307"/>
      <c r="E14" s="307"/>
      <c r="F14" s="307"/>
      <c r="G14" s="112"/>
      <c r="H14" s="308" t="s">
        <v>2</v>
      </c>
      <c r="I14" s="308"/>
      <c r="J14" s="309"/>
      <c r="K14" s="309"/>
      <c r="L14" s="309"/>
    </row>
    <row r="15" spans="2:12" ht="45">
      <c r="B15" s="92" t="s">
        <v>0</v>
      </c>
      <c r="C15" s="336" t="s">
        <v>153</v>
      </c>
      <c r="D15" s="336" t="s">
        <v>166</v>
      </c>
      <c r="E15" s="336" t="s">
        <v>10</v>
      </c>
      <c r="F15" s="336" t="s">
        <v>175</v>
      </c>
      <c r="G15" s="130"/>
      <c r="H15" s="337" t="s">
        <v>0</v>
      </c>
      <c r="I15" s="336" t="s">
        <v>153</v>
      </c>
      <c r="J15" s="336" t="s">
        <v>166</v>
      </c>
      <c r="K15" s="336" t="s">
        <v>10</v>
      </c>
      <c r="L15" s="336" t="s">
        <v>175</v>
      </c>
    </row>
    <row r="16" spans="1:12" ht="15">
      <c r="A16" s="256">
        <f>IF('Main calculation'!$B$36=2013,"Starting year --&gt;","")</f>
      </c>
      <c r="B16" s="92">
        <f>'Main calculation'!C43</f>
        <v>2013</v>
      </c>
      <c r="C16" s="94"/>
      <c r="D16" s="93"/>
      <c r="E16" s="344">
        <f>'Main calculation'!$B$38</f>
        <v>300</v>
      </c>
      <c r="F16" s="110">
        <f>D16*E16*(C$11+C$12)</f>
        <v>0</v>
      </c>
      <c r="G16" s="130"/>
      <c r="H16" s="92">
        <f>'Main calculation'!C43</f>
        <v>2013</v>
      </c>
      <c r="I16" s="94"/>
      <c r="J16" s="93"/>
      <c r="K16" s="344">
        <f>E16</f>
        <v>300</v>
      </c>
      <c r="L16" s="110">
        <f>J16*K16*(C$11+C$12)</f>
        <v>0</v>
      </c>
    </row>
    <row r="17" spans="1:12" ht="15">
      <c r="A17" s="256" t="str">
        <f>IF('Main calculation'!$B$36=2014,"Starting year --&gt;","")</f>
        <v>Starting year --&gt;</v>
      </c>
      <c r="B17" s="92">
        <f>'Main calculation'!C44</f>
        <v>2014</v>
      </c>
      <c r="C17" s="94"/>
      <c r="D17" s="93"/>
      <c r="E17" s="344">
        <f>'Main calculation'!$B$38</f>
        <v>300</v>
      </c>
      <c r="F17" s="110">
        <f aca="true" t="shared" si="0" ref="F17:F33">D17*E17*(C$11+C$12)</f>
        <v>0</v>
      </c>
      <c r="G17" s="130"/>
      <c r="H17" s="92">
        <f>'Main calculation'!C44</f>
        <v>2014</v>
      </c>
      <c r="I17" s="94"/>
      <c r="J17" s="93"/>
      <c r="K17" s="344">
        <f>E17</f>
        <v>300</v>
      </c>
      <c r="L17" s="110">
        <f aca="true" t="shared" si="1" ref="L17:L33">J17*K17*(C$11+C$12)</f>
        <v>0</v>
      </c>
    </row>
    <row r="18" spans="1:12" ht="15">
      <c r="A18" s="256">
        <f>IF('Main calculation'!$B$36=2015,"Starting year --&gt;","")</f>
      </c>
      <c r="B18" s="92">
        <f>'Main calculation'!C45</f>
        <v>2015</v>
      </c>
      <c r="C18" s="94"/>
      <c r="D18" s="93"/>
      <c r="E18" s="344">
        <f>'Main calculation'!$B$38</f>
        <v>300</v>
      </c>
      <c r="F18" s="110">
        <f t="shared" si="0"/>
        <v>0</v>
      </c>
      <c r="G18" s="130"/>
      <c r="H18" s="92">
        <f>'Main calculation'!C45</f>
        <v>2015</v>
      </c>
      <c r="I18" s="94"/>
      <c r="J18" s="93"/>
      <c r="K18" s="344">
        <f>E18</f>
        <v>300</v>
      </c>
      <c r="L18" s="110">
        <f t="shared" si="1"/>
        <v>0</v>
      </c>
    </row>
    <row r="19" spans="1:12" ht="15">
      <c r="A19" s="256">
        <f>IF('Main calculation'!$B$36=2016,"Starting year --&gt;","")</f>
      </c>
      <c r="B19" s="92">
        <f>'Main calculation'!C46</f>
        <v>2016</v>
      </c>
      <c r="C19" s="94"/>
      <c r="D19" s="93"/>
      <c r="E19" s="344">
        <f>'Main calculation'!$B$38</f>
        <v>300</v>
      </c>
      <c r="F19" s="110">
        <f t="shared" si="0"/>
        <v>0</v>
      </c>
      <c r="G19" s="130"/>
      <c r="H19" s="92">
        <f>'Main calculation'!C46</f>
        <v>2016</v>
      </c>
      <c r="I19" s="94"/>
      <c r="J19" s="93"/>
      <c r="K19" s="344">
        <f aca="true" t="shared" si="2" ref="K19:K33">E19</f>
        <v>300</v>
      </c>
      <c r="L19" s="110">
        <f t="shared" si="1"/>
        <v>0</v>
      </c>
    </row>
    <row r="20" spans="1:12" ht="15">
      <c r="A20" s="256">
        <f>IF('Main calculation'!$B$36=2017,"Starting year --&gt;","")</f>
      </c>
      <c r="B20" s="92">
        <f>'Main calculation'!C47</f>
        <v>2017</v>
      </c>
      <c r="C20" s="94"/>
      <c r="D20" s="93"/>
      <c r="E20" s="344">
        <f>'Main calculation'!$B$38</f>
        <v>300</v>
      </c>
      <c r="F20" s="110">
        <f t="shared" si="0"/>
        <v>0</v>
      </c>
      <c r="G20" s="130"/>
      <c r="H20" s="92">
        <f>'Main calculation'!C47</f>
        <v>2017</v>
      </c>
      <c r="I20" s="94"/>
      <c r="J20" s="93"/>
      <c r="K20" s="344">
        <f t="shared" si="2"/>
        <v>300</v>
      </c>
      <c r="L20" s="110">
        <f t="shared" si="1"/>
        <v>0</v>
      </c>
    </row>
    <row r="21" spans="1:12" ht="15">
      <c r="A21" s="256">
        <f>IF('Main calculation'!$B$36=2018,"Starting year --&gt;","")</f>
      </c>
      <c r="B21" s="92">
        <f>'Main calculation'!C48</f>
        <v>2018</v>
      </c>
      <c r="C21" s="94"/>
      <c r="D21" s="93"/>
      <c r="E21" s="344">
        <f>'Main calculation'!$B$38</f>
        <v>300</v>
      </c>
      <c r="F21" s="110">
        <f t="shared" si="0"/>
        <v>0</v>
      </c>
      <c r="G21" s="130"/>
      <c r="H21" s="92">
        <f>'Main calculation'!C48</f>
        <v>2018</v>
      </c>
      <c r="I21" s="94"/>
      <c r="J21" s="93"/>
      <c r="K21" s="344">
        <f t="shared" si="2"/>
        <v>300</v>
      </c>
      <c r="L21" s="110">
        <f t="shared" si="1"/>
        <v>0</v>
      </c>
    </row>
    <row r="22" spans="1:12" ht="15">
      <c r="A22" s="256">
        <f>IF('Main calculation'!$B$36=2019,"Starting year --&gt;","")</f>
      </c>
      <c r="B22" s="92">
        <f>'Main calculation'!C49</f>
        <v>2019</v>
      </c>
      <c r="C22" s="94"/>
      <c r="D22" s="93"/>
      <c r="E22" s="344">
        <f>'Main calculation'!$B$38</f>
        <v>300</v>
      </c>
      <c r="F22" s="110">
        <f t="shared" si="0"/>
        <v>0</v>
      </c>
      <c r="G22" s="130"/>
      <c r="H22" s="92">
        <f>'Main calculation'!C49</f>
        <v>2019</v>
      </c>
      <c r="I22" s="94"/>
      <c r="J22" s="93"/>
      <c r="K22" s="344">
        <f t="shared" si="2"/>
        <v>300</v>
      </c>
      <c r="L22" s="110">
        <f t="shared" si="1"/>
        <v>0</v>
      </c>
    </row>
    <row r="23" spans="1:12" ht="15">
      <c r="A23" s="256">
        <f>IF('Main calculation'!$B$36=2020,"Starting year --&gt;","")</f>
      </c>
      <c r="B23" s="92">
        <f>'Main calculation'!C50</f>
        <v>2020</v>
      </c>
      <c r="C23" s="94"/>
      <c r="D23" s="93"/>
      <c r="E23" s="344">
        <f>'Main calculation'!$B$38</f>
        <v>300</v>
      </c>
      <c r="F23" s="110">
        <f t="shared" si="0"/>
        <v>0</v>
      </c>
      <c r="G23" s="130"/>
      <c r="H23" s="92">
        <f>'Main calculation'!C50</f>
        <v>2020</v>
      </c>
      <c r="I23" s="94"/>
      <c r="J23" s="93"/>
      <c r="K23" s="344">
        <f t="shared" si="2"/>
        <v>300</v>
      </c>
      <c r="L23" s="110">
        <f t="shared" si="1"/>
        <v>0</v>
      </c>
    </row>
    <row r="24" spans="1:12" ht="15">
      <c r="A24" s="256">
        <f>IF('Main calculation'!$B$36=2021,"Starting year --&gt;","")</f>
      </c>
      <c r="B24" s="92">
        <f>'Main calculation'!C51</f>
        <v>2021</v>
      </c>
      <c r="C24" s="94"/>
      <c r="D24" s="93"/>
      <c r="E24" s="344">
        <f>'Main calculation'!$B$38</f>
        <v>300</v>
      </c>
      <c r="F24" s="110">
        <f t="shared" si="0"/>
        <v>0</v>
      </c>
      <c r="G24" s="130"/>
      <c r="H24" s="92">
        <f>'Main calculation'!C51</f>
        <v>2021</v>
      </c>
      <c r="I24" s="94"/>
      <c r="J24" s="93"/>
      <c r="K24" s="344">
        <f t="shared" si="2"/>
        <v>300</v>
      </c>
      <c r="L24" s="110">
        <f t="shared" si="1"/>
        <v>0</v>
      </c>
    </row>
    <row r="25" spans="1:12" ht="15">
      <c r="A25" s="256">
        <f>IF('Main calculation'!$B$36=2022,"Starting year --&gt;","")</f>
      </c>
      <c r="B25" s="92">
        <f>'Main calculation'!C52</f>
        <v>2022</v>
      </c>
      <c r="C25" s="94"/>
      <c r="D25" s="93"/>
      <c r="E25" s="344">
        <f>'Main calculation'!$B$38</f>
        <v>300</v>
      </c>
      <c r="F25" s="110">
        <f t="shared" si="0"/>
        <v>0</v>
      </c>
      <c r="G25" s="130"/>
      <c r="H25" s="92">
        <f>'Main calculation'!C52</f>
        <v>2022</v>
      </c>
      <c r="I25" s="94"/>
      <c r="J25" s="93"/>
      <c r="K25" s="344">
        <f t="shared" si="2"/>
        <v>300</v>
      </c>
      <c r="L25" s="110">
        <f t="shared" si="1"/>
        <v>0</v>
      </c>
    </row>
    <row r="26" spans="1:12" ht="15">
      <c r="A26" s="256">
        <f>IF('Main calculation'!$B$36=2023,"Starting year --&gt;","")</f>
      </c>
      <c r="B26" s="92">
        <f>'Main calculation'!C53</f>
        <v>2023</v>
      </c>
      <c r="C26" s="94"/>
      <c r="D26" s="93"/>
      <c r="E26" s="344">
        <f>'Main calculation'!$B$38</f>
        <v>300</v>
      </c>
      <c r="F26" s="110">
        <f t="shared" si="0"/>
        <v>0</v>
      </c>
      <c r="G26" s="130"/>
      <c r="H26" s="92">
        <f>'Main calculation'!C53</f>
        <v>2023</v>
      </c>
      <c r="I26" s="94"/>
      <c r="J26" s="93"/>
      <c r="K26" s="344">
        <f t="shared" si="2"/>
        <v>300</v>
      </c>
      <c r="L26" s="110">
        <f t="shared" si="1"/>
        <v>0</v>
      </c>
    </row>
    <row r="27" spans="1:12" ht="15">
      <c r="A27" s="256">
        <f>IF('Main calculation'!$B$36=2024,"Starting year --&gt;","")</f>
      </c>
      <c r="B27" s="92">
        <f>'Main calculation'!C54</f>
        <v>2024</v>
      </c>
      <c r="C27" s="94"/>
      <c r="D27" s="93"/>
      <c r="E27" s="344">
        <f>'Main calculation'!$B$38</f>
        <v>300</v>
      </c>
      <c r="F27" s="110">
        <f t="shared" si="0"/>
        <v>0</v>
      </c>
      <c r="G27" s="130"/>
      <c r="H27" s="92">
        <f>'Main calculation'!C54</f>
        <v>2024</v>
      </c>
      <c r="I27" s="94"/>
      <c r="J27" s="93"/>
      <c r="K27" s="344">
        <f t="shared" si="2"/>
        <v>300</v>
      </c>
      <c r="L27" s="110">
        <f t="shared" si="1"/>
        <v>0</v>
      </c>
    </row>
    <row r="28" spans="1:12" ht="15">
      <c r="A28" s="256">
        <f>IF('Main calculation'!$B$36=2025,"Starting year --&gt;","")</f>
      </c>
      <c r="B28" s="92">
        <f>'Main calculation'!C55</f>
        <v>2025</v>
      </c>
      <c r="C28" s="94"/>
      <c r="D28" s="93"/>
      <c r="E28" s="344">
        <f>'Main calculation'!$B$38</f>
        <v>300</v>
      </c>
      <c r="F28" s="110">
        <f t="shared" si="0"/>
        <v>0</v>
      </c>
      <c r="G28" s="130"/>
      <c r="H28" s="92">
        <f>'Main calculation'!C55</f>
        <v>2025</v>
      </c>
      <c r="I28" s="94"/>
      <c r="J28" s="93"/>
      <c r="K28" s="344">
        <f t="shared" si="2"/>
        <v>300</v>
      </c>
      <c r="L28" s="110">
        <f t="shared" si="1"/>
        <v>0</v>
      </c>
    </row>
    <row r="29" spans="1:12" ht="15">
      <c r="A29" s="256">
        <f>IF('Main calculation'!$B$36=2026,"Starting year --&gt;","")</f>
      </c>
      <c r="B29" s="92">
        <f>'Main calculation'!C56</f>
        <v>2026</v>
      </c>
      <c r="C29" s="94"/>
      <c r="D29" s="93"/>
      <c r="E29" s="344">
        <f>'Main calculation'!$B$38</f>
        <v>300</v>
      </c>
      <c r="F29" s="110">
        <f t="shared" si="0"/>
        <v>0</v>
      </c>
      <c r="G29" s="130"/>
      <c r="H29" s="92">
        <f>'Main calculation'!C56</f>
        <v>2026</v>
      </c>
      <c r="I29" s="94"/>
      <c r="J29" s="93"/>
      <c r="K29" s="344">
        <f t="shared" si="2"/>
        <v>300</v>
      </c>
      <c r="L29" s="110">
        <f t="shared" si="1"/>
        <v>0</v>
      </c>
    </row>
    <row r="30" spans="1:12" ht="15">
      <c r="A30" s="256">
        <f>IF('Main calculation'!$B$36=2027,"Starting year --&gt;","")</f>
      </c>
      <c r="B30" s="92">
        <f>'Main calculation'!C57</f>
        <v>2027</v>
      </c>
      <c r="C30" s="94"/>
      <c r="D30" s="93"/>
      <c r="E30" s="344">
        <f>'Main calculation'!$B$38</f>
        <v>300</v>
      </c>
      <c r="F30" s="110">
        <f t="shared" si="0"/>
        <v>0</v>
      </c>
      <c r="G30" s="130"/>
      <c r="H30" s="92">
        <f>'Main calculation'!C57</f>
        <v>2027</v>
      </c>
      <c r="I30" s="94"/>
      <c r="J30" s="93"/>
      <c r="K30" s="344">
        <f t="shared" si="2"/>
        <v>300</v>
      </c>
      <c r="L30" s="110">
        <f t="shared" si="1"/>
        <v>0</v>
      </c>
    </row>
    <row r="31" spans="1:12" ht="15">
      <c r="A31" s="256" t="str">
        <f>IF('Main calculation'!$B$37=2028,"Finishing year --&gt;","")</f>
        <v>Finishing year --&gt;</v>
      </c>
      <c r="B31" s="92">
        <f>'Main calculation'!C58</f>
        <v>2028</v>
      </c>
      <c r="C31" s="94"/>
      <c r="D31" s="93"/>
      <c r="E31" s="344">
        <f>'Main calculation'!$B$38</f>
        <v>300</v>
      </c>
      <c r="F31" s="110">
        <f t="shared" si="0"/>
        <v>0</v>
      </c>
      <c r="G31" s="130"/>
      <c r="H31" s="92">
        <f>'Main calculation'!C58</f>
        <v>2028</v>
      </c>
      <c r="I31" s="94"/>
      <c r="J31" s="93"/>
      <c r="K31" s="344">
        <f t="shared" si="2"/>
        <v>300</v>
      </c>
      <c r="L31" s="110">
        <f t="shared" si="1"/>
        <v>0</v>
      </c>
    </row>
    <row r="32" spans="1:12" ht="15">
      <c r="A32" s="256">
        <f>IF('Main calculation'!$B$37=2029,"Finishing year --&gt;","")</f>
      </c>
      <c r="B32" s="92">
        <f>'Main calculation'!C59</f>
        <v>2029</v>
      </c>
      <c r="C32" s="94"/>
      <c r="D32" s="93"/>
      <c r="E32" s="344">
        <f>'Main calculation'!$B$38</f>
        <v>300</v>
      </c>
      <c r="F32" s="110">
        <f t="shared" si="0"/>
        <v>0</v>
      </c>
      <c r="G32" s="130"/>
      <c r="H32" s="92">
        <f>'Main calculation'!C59</f>
        <v>2029</v>
      </c>
      <c r="I32" s="94"/>
      <c r="J32" s="93"/>
      <c r="K32" s="344">
        <f t="shared" si="2"/>
        <v>300</v>
      </c>
      <c r="L32" s="110">
        <f t="shared" si="1"/>
        <v>0</v>
      </c>
    </row>
    <row r="33" spans="1:12" ht="15">
      <c r="A33" s="256">
        <f>IF('Main calculation'!$B$37=2030,"Finishing year --&gt;","")</f>
      </c>
      <c r="B33" s="92">
        <f>'Main calculation'!C60</f>
        <v>2030</v>
      </c>
      <c r="C33" s="94"/>
      <c r="D33" s="93"/>
      <c r="E33" s="344">
        <f>'Main calculation'!$B$38</f>
        <v>300</v>
      </c>
      <c r="F33" s="110">
        <f t="shared" si="0"/>
        <v>0</v>
      </c>
      <c r="G33" s="130"/>
      <c r="H33" s="92">
        <f>'Main calculation'!C60</f>
        <v>2030</v>
      </c>
      <c r="I33" s="94"/>
      <c r="J33" s="93"/>
      <c r="K33" s="344">
        <f t="shared" si="2"/>
        <v>300</v>
      </c>
      <c r="L33" s="110">
        <f t="shared" si="1"/>
        <v>0</v>
      </c>
    </row>
    <row r="34" ht="15">
      <c r="A34" s="256">
        <f>IF('Main calculation'!$B$37=2031,"Finishing year --&gt;","")</f>
      </c>
    </row>
    <row r="35" spans="1:5" ht="15">
      <c r="A35" s="256">
        <f>IF('Main calculation'!$B$37=2032,"Finishing year --&gt;","")</f>
      </c>
      <c r="E35" s="303"/>
    </row>
    <row r="36" ht="15">
      <c r="A36" s="256">
        <f>IF('Main calculation'!$B$37=2033,"Finishing year --&gt;","")</f>
      </c>
    </row>
  </sheetData>
  <sheetProtection/>
  <mergeCells count="2">
    <mergeCell ref="A8:E8"/>
    <mergeCell ref="A3:F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3"/>
  <sheetViews>
    <sheetView zoomScale="85" zoomScaleNormal="85" zoomScalePageLayoutView="0" workbookViewId="0" topLeftCell="A4">
      <selection activeCell="A9" sqref="A9"/>
    </sheetView>
  </sheetViews>
  <sheetFormatPr defaultColWidth="9.140625" defaultRowHeight="15"/>
  <cols>
    <col min="1" max="1" width="17.140625" style="0" customWidth="1"/>
    <col min="2" max="2" width="12.421875" style="0" customWidth="1"/>
    <col min="3" max="3" width="13.140625" style="0" customWidth="1"/>
    <col min="4" max="4" width="15.28125" style="0" customWidth="1"/>
    <col min="5" max="5" width="17.421875" style="0" customWidth="1"/>
    <col min="6" max="6" width="5.140625" style="0" customWidth="1"/>
    <col min="7" max="7" width="12.28125" style="0" customWidth="1"/>
    <col min="8" max="8" width="12.57421875" style="0" customWidth="1"/>
    <col min="9" max="9" width="14.7109375" style="0" customWidth="1"/>
    <col min="10" max="10" width="16.7109375" style="0" customWidth="1"/>
  </cols>
  <sheetData>
    <row r="1" ht="15">
      <c r="A1" s="162" t="s">
        <v>274</v>
      </c>
    </row>
    <row r="2" ht="15">
      <c r="A2" s="162" t="s">
        <v>263</v>
      </c>
    </row>
    <row r="3" spans="1:9" ht="46.5" customHeight="1">
      <c r="A3" s="417" t="s">
        <v>205</v>
      </c>
      <c r="B3" s="417"/>
      <c r="C3" s="417"/>
      <c r="D3" s="417"/>
      <c r="E3" s="417"/>
      <c r="F3" s="417"/>
      <c r="G3" s="417"/>
      <c r="H3" s="417"/>
      <c r="I3" s="417"/>
    </row>
    <row r="5" ht="15">
      <c r="A5" s="162" t="s">
        <v>248</v>
      </c>
    </row>
    <row r="6" spans="1:3" ht="15">
      <c r="A6" t="s">
        <v>275</v>
      </c>
      <c r="C6" s="179"/>
    </row>
    <row r="7" spans="1:5" ht="15" customHeight="1">
      <c r="A7" s="373" t="s">
        <v>257</v>
      </c>
      <c r="B7" s="373"/>
      <c r="C7" s="373"/>
      <c r="D7" s="373"/>
      <c r="E7" s="373"/>
    </row>
    <row r="8" ht="15">
      <c r="C8" s="179"/>
    </row>
    <row r="9" spans="1:2" ht="30">
      <c r="A9" s="426" t="s">
        <v>150</v>
      </c>
      <c r="B9" s="332">
        <f>HLOOKUP('Main calculation'!$B$34,'Monetary Values'!$D$3:$G$71,69,FALSE)</f>
        <v>0.005281385281402182</v>
      </c>
    </row>
    <row r="10" spans="1:2" ht="15">
      <c r="A10" s="173"/>
      <c r="B10" s="178"/>
    </row>
    <row r="11" spans="2:10" ht="18.75">
      <c r="B11" s="306" t="s">
        <v>1</v>
      </c>
      <c r="C11" s="307"/>
      <c r="D11" s="307"/>
      <c r="E11" s="307"/>
      <c r="F11" s="112"/>
      <c r="G11" s="308" t="s">
        <v>2</v>
      </c>
      <c r="H11" s="309"/>
      <c r="I11" s="309"/>
      <c r="J11" s="309"/>
    </row>
    <row r="12" spans="2:10" ht="45">
      <c r="B12" s="344" t="s">
        <v>0</v>
      </c>
      <c r="C12" s="336" t="s">
        <v>207</v>
      </c>
      <c r="D12" s="336" t="s">
        <v>10</v>
      </c>
      <c r="E12" s="336" t="s">
        <v>161</v>
      </c>
      <c r="F12" s="130"/>
      <c r="G12" s="344" t="s">
        <v>0</v>
      </c>
      <c r="H12" s="336" t="s">
        <v>207</v>
      </c>
      <c r="I12" s="336" t="s">
        <v>10</v>
      </c>
      <c r="J12" s="336" t="s">
        <v>161</v>
      </c>
    </row>
    <row r="13" spans="1:10" ht="15">
      <c r="A13" s="256">
        <f>IF('Main calculation'!$B$36=2013,"Starting year --&gt;","")</f>
      </c>
      <c r="B13" s="92">
        <f>'Main calculation'!C43</f>
        <v>2013</v>
      </c>
      <c r="C13" s="93"/>
      <c r="D13" s="344">
        <f>'Main calculation'!$B$38</f>
        <v>300</v>
      </c>
      <c r="E13" s="110">
        <f>$B$9*C13*D13</f>
        <v>0</v>
      </c>
      <c r="F13" s="130"/>
      <c r="G13" s="92">
        <f>'Main calculation'!C43</f>
        <v>2013</v>
      </c>
      <c r="H13" s="93"/>
      <c r="I13" s="344">
        <f>D13</f>
        <v>300</v>
      </c>
      <c r="J13" s="110">
        <f>$B$9*H13*I13</f>
        <v>0</v>
      </c>
    </row>
    <row r="14" spans="1:10" ht="15">
      <c r="A14" s="256" t="str">
        <f>IF('Main calculation'!$B$36=2014,"Starting year --&gt;","")</f>
        <v>Starting year --&gt;</v>
      </c>
      <c r="B14" s="92">
        <f>'Main calculation'!C44</f>
        <v>2014</v>
      </c>
      <c r="C14" s="93">
        <v>5600</v>
      </c>
      <c r="D14" s="344">
        <f>'Main calculation'!$B$38</f>
        <v>300</v>
      </c>
      <c r="E14" s="110">
        <f>$B$9*C14*D14</f>
        <v>8872.727272755666</v>
      </c>
      <c r="F14" s="130"/>
      <c r="G14" s="92">
        <f>'Main calculation'!C44</f>
        <v>2014</v>
      </c>
      <c r="H14" s="93">
        <v>7000</v>
      </c>
      <c r="I14" s="344">
        <f>D14</f>
        <v>300</v>
      </c>
      <c r="J14" s="110">
        <f>$B$9*H14*I14</f>
        <v>11090.909090944582</v>
      </c>
    </row>
    <row r="15" spans="1:10" ht="15">
      <c r="A15" s="256">
        <f>IF('Main calculation'!$B$36=2015,"Starting year --&gt;","")</f>
      </c>
      <c r="B15" s="92">
        <f>'Main calculation'!C45</f>
        <v>2015</v>
      </c>
      <c r="C15" s="93">
        <v>5600</v>
      </c>
      <c r="D15" s="344">
        <f>'Main calculation'!$B$38</f>
        <v>300</v>
      </c>
      <c r="E15" s="110">
        <f aca="true" t="shared" si="0" ref="E15:E30">$B$9*C15*D15</f>
        <v>8872.727272755666</v>
      </c>
      <c r="F15" s="130"/>
      <c r="G15" s="92">
        <f>'Main calculation'!C45</f>
        <v>2015</v>
      </c>
      <c r="H15" s="93">
        <v>7000</v>
      </c>
      <c r="I15" s="344">
        <f aca="true" t="shared" si="1" ref="I15:I30">D15</f>
        <v>300</v>
      </c>
      <c r="J15" s="110">
        <f aca="true" t="shared" si="2" ref="J15:J30">$B$9*H15*I15</f>
        <v>11090.909090944582</v>
      </c>
    </row>
    <row r="16" spans="1:10" ht="15">
      <c r="A16" s="256">
        <f>IF('Main calculation'!$B$36=2016,"Starting year --&gt;","")</f>
      </c>
      <c r="B16" s="92">
        <f>'Main calculation'!C46</f>
        <v>2016</v>
      </c>
      <c r="C16" s="93">
        <v>5600</v>
      </c>
      <c r="D16" s="344">
        <f>'Main calculation'!$B$38</f>
        <v>300</v>
      </c>
      <c r="E16" s="110">
        <f t="shared" si="0"/>
        <v>8872.727272755666</v>
      </c>
      <c r="F16" s="130"/>
      <c r="G16" s="92">
        <f>'Main calculation'!C46</f>
        <v>2016</v>
      </c>
      <c r="H16" s="93">
        <v>7000</v>
      </c>
      <c r="I16" s="344">
        <f t="shared" si="1"/>
        <v>300</v>
      </c>
      <c r="J16" s="110">
        <f t="shared" si="2"/>
        <v>11090.909090944582</v>
      </c>
    </row>
    <row r="17" spans="1:10" ht="15">
      <c r="A17" s="256">
        <f>IF('Main calculation'!$B$36=2017,"Starting year --&gt;","")</f>
      </c>
      <c r="B17" s="92">
        <f>'Main calculation'!C47</f>
        <v>2017</v>
      </c>
      <c r="C17" s="93">
        <v>5600</v>
      </c>
      <c r="D17" s="344">
        <f>'Main calculation'!$B$38</f>
        <v>300</v>
      </c>
      <c r="E17" s="110">
        <f t="shared" si="0"/>
        <v>8872.727272755666</v>
      </c>
      <c r="F17" s="130"/>
      <c r="G17" s="92">
        <f>'Main calculation'!C47</f>
        <v>2017</v>
      </c>
      <c r="H17" s="93">
        <v>7000</v>
      </c>
      <c r="I17" s="344">
        <f t="shared" si="1"/>
        <v>300</v>
      </c>
      <c r="J17" s="110">
        <f t="shared" si="2"/>
        <v>11090.909090944582</v>
      </c>
    </row>
    <row r="18" spans="1:10" ht="15">
      <c r="A18" s="256">
        <f>IF('Main calculation'!$B$36=2018,"Starting year --&gt;","")</f>
      </c>
      <c r="B18" s="92">
        <f>'Main calculation'!C48</f>
        <v>2018</v>
      </c>
      <c r="C18" s="93">
        <v>5600</v>
      </c>
      <c r="D18" s="344">
        <f>'Main calculation'!$B$38</f>
        <v>300</v>
      </c>
      <c r="E18" s="110">
        <f t="shared" si="0"/>
        <v>8872.727272755666</v>
      </c>
      <c r="F18" s="130"/>
      <c r="G18" s="92">
        <f>'Main calculation'!C48</f>
        <v>2018</v>
      </c>
      <c r="H18" s="93">
        <v>7000</v>
      </c>
      <c r="I18" s="344">
        <f t="shared" si="1"/>
        <v>300</v>
      </c>
      <c r="J18" s="110">
        <f t="shared" si="2"/>
        <v>11090.909090944582</v>
      </c>
    </row>
    <row r="19" spans="1:10" ht="15">
      <c r="A19" s="256">
        <f>IF('Main calculation'!$B$36=2019,"Starting year --&gt;","")</f>
      </c>
      <c r="B19" s="92">
        <f>'Main calculation'!C49</f>
        <v>2019</v>
      </c>
      <c r="C19" s="93">
        <v>5600</v>
      </c>
      <c r="D19" s="344">
        <f>'Main calculation'!$B$38</f>
        <v>300</v>
      </c>
      <c r="E19" s="110">
        <f t="shared" si="0"/>
        <v>8872.727272755666</v>
      </c>
      <c r="F19" s="130"/>
      <c r="G19" s="92">
        <f>'Main calculation'!C49</f>
        <v>2019</v>
      </c>
      <c r="H19" s="93">
        <v>7000</v>
      </c>
      <c r="I19" s="344">
        <f t="shared" si="1"/>
        <v>300</v>
      </c>
      <c r="J19" s="110">
        <f t="shared" si="2"/>
        <v>11090.909090944582</v>
      </c>
    </row>
    <row r="20" spans="1:10" ht="15">
      <c r="A20" s="256">
        <f>IF('Main calculation'!$B$36=2020,"Starting year --&gt;","")</f>
      </c>
      <c r="B20" s="92">
        <f>'Main calculation'!C50</f>
        <v>2020</v>
      </c>
      <c r="C20" s="93">
        <v>5600</v>
      </c>
      <c r="D20" s="344">
        <f>'Main calculation'!$B$38</f>
        <v>300</v>
      </c>
      <c r="E20" s="110">
        <f t="shared" si="0"/>
        <v>8872.727272755666</v>
      </c>
      <c r="F20" s="130"/>
      <c r="G20" s="92">
        <f>'Main calculation'!C50</f>
        <v>2020</v>
      </c>
      <c r="H20" s="93">
        <v>7000</v>
      </c>
      <c r="I20" s="344">
        <f t="shared" si="1"/>
        <v>300</v>
      </c>
      <c r="J20" s="110">
        <f t="shared" si="2"/>
        <v>11090.909090944582</v>
      </c>
    </row>
    <row r="21" spans="1:10" ht="15">
      <c r="A21" s="256">
        <f>IF('Main calculation'!$B$36=2021,"Starting year --&gt;","")</f>
      </c>
      <c r="B21" s="92">
        <f>'Main calculation'!C51</f>
        <v>2021</v>
      </c>
      <c r="C21" s="93">
        <v>5600</v>
      </c>
      <c r="D21" s="344">
        <f>'Main calculation'!$B$38</f>
        <v>300</v>
      </c>
      <c r="E21" s="110">
        <f t="shared" si="0"/>
        <v>8872.727272755666</v>
      </c>
      <c r="F21" s="130"/>
      <c r="G21" s="92">
        <f>'Main calculation'!C51</f>
        <v>2021</v>
      </c>
      <c r="H21" s="93">
        <v>7000</v>
      </c>
      <c r="I21" s="344">
        <f t="shared" si="1"/>
        <v>300</v>
      </c>
      <c r="J21" s="110">
        <f t="shared" si="2"/>
        <v>11090.909090944582</v>
      </c>
    </row>
    <row r="22" spans="1:10" ht="15">
      <c r="A22" s="256">
        <f>IF('Main calculation'!$B$36=2022,"Starting year --&gt;","")</f>
      </c>
      <c r="B22" s="92">
        <f>'Main calculation'!C52</f>
        <v>2022</v>
      </c>
      <c r="C22" s="93">
        <v>5600</v>
      </c>
      <c r="D22" s="344">
        <f>'Main calculation'!$B$38</f>
        <v>300</v>
      </c>
      <c r="E22" s="110">
        <f t="shared" si="0"/>
        <v>8872.727272755666</v>
      </c>
      <c r="F22" s="130"/>
      <c r="G22" s="92">
        <f>'Main calculation'!C52</f>
        <v>2022</v>
      </c>
      <c r="H22" s="93">
        <v>7000</v>
      </c>
      <c r="I22" s="344">
        <f t="shared" si="1"/>
        <v>300</v>
      </c>
      <c r="J22" s="110">
        <f t="shared" si="2"/>
        <v>11090.909090944582</v>
      </c>
    </row>
    <row r="23" spans="1:10" ht="15">
      <c r="A23" s="256">
        <f>IF('Main calculation'!$B$36=2023,"Starting year --&gt;","")</f>
      </c>
      <c r="B23" s="92">
        <f>'Main calculation'!C53</f>
        <v>2023</v>
      </c>
      <c r="C23" s="93">
        <v>5600</v>
      </c>
      <c r="D23" s="344">
        <f>'Main calculation'!$B$38</f>
        <v>300</v>
      </c>
      <c r="E23" s="110">
        <f t="shared" si="0"/>
        <v>8872.727272755666</v>
      </c>
      <c r="F23" s="130"/>
      <c r="G23" s="92">
        <f>'Main calculation'!C53</f>
        <v>2023</v>
      </c>
      <c r="H23" s="93">
        <v>7000</v>
      </c>
      <c r="I23" s="344">
        <f t="shared" si="1"/>
        <v>300</v>
      </c>
      <c r="J23" s="110">
        <f t="shared" si="2"/>
        <v>11090.909090944582</v>
      </c>
    </row>
    <row r="24" spans="1:10" ht="15">
      <c r="A24" s="256">
        <f>IF('Main calculation'!$B$36=2024,"Starting year --&gt;","")</f>
      </c>
      <c r="B24" s="92">
        <f>'Main calculation'!C54</f>
        <v>2024</v>
      </c>
      <c r="C24" s="93">
        <v>5600</v>
      </c>
      <c r="D24" s="344">
        <f>'Main calculation'!$B$38</f>
        <v>300</v>
      </c>
      <c r="E24" s="110">
        <f t="shared" si="0"/>
        <v>8872.727272755666</v>
      </c>
      <c r="F24" s="130"/>
      <c r="G24" s="92">
        <f>'Main calculation'!C54</f>
        <v>2024</v>
      </c>
      <c r="H24" s="93">
        <v>7000</v>
      </c>
      <c r="I24" s="344">
        <f t="shared" si="1"/>
        <v>300</v>
      </c>
      <c r="J24" s="110">
        <f t="shared" si="2"/>
        <v>11090.909090944582</v>
      </c>
    </row>
    <row r="25" spans="1:10" ht="15">
      <c r="A25" s="256">
        <f>IF('Main calculation'!$B$36=2025,"Starting year --&gt;","")</f>
      </c>
      <c r="B25" s="92">
        <f>'Main calculation'!C55</f>
        <v>2025</v>
      </c>
      <c r="C25" s="93">
        <v>5600</v>
      </c>
      <c r="D25" s="344">
        <f>'Main calculation'!$B$38</f>
        <v>300</v>
      </c>
      <c r="E25" s="110">
        <f t="shared" si="0"/>
        <v>8872.727272755666</v>
      </c>
      <c r="F25" s="130"/>
      <c r="G25" s="92">
        <f>'Main calculation'!C55</f>
        <v>2025</v>
      </c>
      <c r="H25" s="93">
        <v>7000</v>
      </c>
      <c r="I25" s="344">
        <f t="shared" si="1"/>
        <v>300</v>
      </c>
      <c r="J25" s="110">
        <f t="shared" si="2"/>
        <v>11090.909090944582</v>
      </c>
    </row>
    <row r="26" spans="1:10" ht="15">
      <c r="A26" s="256">
        <f>IF('Main calculation'!$B$36=2026,"Starting year --&gt;","")</f>
      </c>
      <c r="B26" s="92">
        <f>'Main calculation'!C56</f>
        <v>2026</v>
      </c>
      <c r="C26" s="93">
        <v>5600</v>
      </c>
      <c r="D26" s="344">
        <f>'Main calculation'!$B$38</f>
        <v>300</v>
      </c>
      <c r="E26" s="110">
        <f t="shared" si="0"/>
        <v>8872.727272755666</v>
      </c>
      <c r="F26" s="130"/>
      <c r="G26" s="92">
        <f>'Main calculation'!C56</f>
        <v>2026</v>
      </c>
      <c r="H26" s="93">
        <v>7000</v>
      </c>
      <c r="I26" s="344">
        <f t="shared" si="1"/>
        <v>300</v>
      </c>
      <c r="J26" s="110">
        <f t="shared" si="2"/>
        <v>11090.909090944582</v>
      </c>
    </row>
    <row r="27" spans="1:10" ht="15">
      <c r="A27" s="256">
        <f>IF('Main calculation'!$B$36=2027,"Starting year --&gt;","")</f>
      </c>
      <c r="B27" s="92">
        <f>'Main calculation'!C57</f>
        <v>2027</v>
      </c>
      <c r="C27" s="93">
        <v>5600</v>
      </c>
      <c r="D27" s="344">
        <f>'Main calculation'!$B$38</f>
        <v>300</v>
      </c>
      <c r="E27" s="110">
        <f t="shared" si="0"/>
        <v>8872.727272755666</v>
      </c>
      <c r="F27" s="130"/>
      <c r="G27" s="92">
        <f>'Main calculation'!C57</f>
        <v>2027</v>
      </c>
      <c r="H27" s="93">
        <v>7000</v>
      </c>
      <c r="I27" s="344">
        <f t="shared" si="1"/>
        <v>300</v>
      </c>
      <c r="J27" s="110">
        <f t="shared" si="2"/>
        <v>11090.909090944582</v>
      </c>
    </row>
    <row r="28" spans="1:10" ht="15">
      <c r="A28" s="256" t="str">
        <f>IF('Main calculation'!$B$37=2028,"Finishing year --&gt;","")</f>
        <v>Finishing year --&gt;</v>
      </c>
      <c r="B28" s="92">
        <f>'Main calculation'!C58</f>
        <v>2028</v>
      </c>
      <c r="C28" s="93">
        <v>5600</v>
      </c>
      <c r="D28" s="344">
        <f>'Main calculation'!$B$38</f>
        <v>300</v>
      </c>
      <c r="E28" s="110">
        <f t="shared" si="0"/>
        <v>8872.727272755666</v>
      </c>
      <c r="F28" s="130"/>
      <c r="G28" s="92">
        <f>'Main calculation'!C58</f>
        <v>2028</v>
      </c>
      <c r="H28" s="93">
        <v>7000</v>
      </c>
      <c r="I28" s="344">
        <f t="shared" si="1"/>
        <v>300</v>
      </c>
      <c r="J28" s="110">
        <f t="shared" si="2"/>
        <v>11090.909090944582</v>
      </c>
    </row>
    <row r="29" spans="1:10" ht="15">
      <c r="A29" s="256">
        <f>IF('Main calculation'!$B$37=2029,"Finishing year --&gt;","")</f>
      </c>
      <c r="B29" s="92">
        <f>'Main calculation'!C59</f>
        <v>2029</v>
      </c>
      <c r="C29" s="93"/>
      <c r="D29" s="344">
        <f>'Main calculation'!$B$38</f>
        <v>300</v>
      </c>
      <c r="E29" s="110">
        <f t="shared" si="0"/>
        <v>0</v>
      </c>
      <c r="F29" s="130"/>
      <c r="G29" s="92">
        <f>'Main calculation'!C59</f>
        <v>2029</v>
      </c>
      <c r="H29" s="93"/>
      <c r="I29" s="344">
        <f t="shared" si="1"/>
        <v>300</v>
      </c>
      <c r="J29" s="110">
        <f t="shared" si="2"/>
        <v>0</v>
      </c>
    </row>
    <row r="30" spans="1:10" ht="15">
      <c r="A30" s="256">
        <f>IF('Main calculation'!$B$37=2030,"Finishing year --&gt;","")</f>
      </c>
      <c r="B30" s="92">
        <f>'Main calculation'!C60</f>
        <v>2030</v>
      </c>
      <c r="C30" s="93"/>
      <c r="D30" s="344">
        <f>'Main calculation'!$B$38</f>
        <v>300</v>
      </c>
      <c r="E30" s="110">
        <f t="shared" si="0"/>
        <v>0</v>
      </c>
      <c r="F30" s="130"/>
      <c r="G30" s="92">
        <f>'Main calculation'!C60</f>
        <v>2030</v>
      </c>
      <c r="H30" s="93"/>
      <c r="I30" s="344">
        <f t="shared" si="1"/>
        <v>300</v>
      </c>
      <c r="J30" s="110">
        <f t="shared" si="2"/>
        <v>0</v>
      </c>
    </row>
    <row r="31" ht="15">
      <c r="A31" s="256">
        <f>IF('Main calculation'!$B$37=2031,"Finishing year --&gt;","")</f>
      </c>
    </row>
    <row r="32" ht="15">
      <c r="A32" s="256">
        <f>IF('Main calculation'!$B$37=2032,"Finishing year --&gt;","")</f>
      </c>
    </row>
    <row r="33" ht="15">
      <c r="A33" s="256">
        <f>IF('Main calculation'!$B$37=2033,"Finishing year --&gt;","")</f>
      </c>
    </row>
  </sheetData>
  <sheetProtection/>
  <mergeCells count="1">
    <mergeCell ref="A3:I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34"/>
  <sheetViews>
    <sheetView zoomScale="85" zoomScaleNormal="85" zoomScalePageLayoutView="0" workbookViewId="0" topLeftCell="A8">
      <selection activeCell="K29" sqref="K29"/>
    </sheetView>
  </sheetViews>
  <sheetFormatPr defaultColWidth="9.140625" defaultRowHeight="15"/>
  <cols>
    <col min="1" max="1" width="10.00390625" style="0" customWidth="1"/>
    <col min="2" max="2" width="17.28125" style="0" customWidth="1"/>
    <col min="3" max="4" width="15.00390625" style="0" customWidth="1"/>
    <col min="6" max="6" width="16.8515625" style="0" customWidth="1"/>
    <col min="7" max="7" width="13.8515625" style="0" customWidth="1"/>
    <col min="8" max="8" width="14.140625" style="0" bestFit="1" customWidth="1"/>
  </cols>
  <sheetData>
    <row r="1" ht="18.75">
      <c r="A1" s="159" t="s">
        <v>276</v>
      </c>
    </row>
    <row r="2" s="255" customFormat="1" ht="15">
      <c r="A2" s="162" t="s">
        <v>280</v>
      </c>
    </row>
    <row r="3" spans="1:9" ht="47.25" customHeight="1">
      <c r="A3" s="417" t="s">
        <v>281</v>
      </c>
      <c r="B3" s="417"/>
      <c r="C3" s="417"/>
      <c r="D3" s="417"/>
      <c r="E3" s="417"/>
      <c r="F3" s="417"/>
      <c r="G3" s="417"/>
      <c r="H3" s="417"/>
      <c r="I3" s="417"/>
    </row>
    <row r="4" spans="1:9" ht="15">
      <c r="A4" s="348"/>
      <c r="B4" s="348"/>
      <c r="C4" s="348"/>
      <c r="D4" s="348"/>
      <c r="E4" s="348"/>
      <c r="F4" s="348"/>
      <c r="G4" s="348"/>
      <c r="H4" s="348"/>
      <c r="I4" s="348"/>
    </row>
    <row r="5" spans="1:9" ht="15">
      <c r="A5" s="257" t="s">
        <v>277</v>
      </c>
      <c r="B5" s="348"/>
      <c r="C5" s="348"/>
      <c r="D5" s="348"/>
      <c r="E5" s="348"/>
      <c r="F5" s="348"/>
      <c r="G5" s="348"/>
      <c r="H5" s="348"/>
      <c r="I5" s="348"/>
    </row>
    <row r="6" spans="1:9" ht="15">
      <c r="A6" s="258" t="s">
        <v>278</v>
      </c>
      <c r="B6" s="348"/>
      <c r="C6" s="348"/>
      <c r="D6" s="348"/>
      <c r="E6" s="348"/>
      <c r="F6" s="348"/>
      <c r="G6" s="348"/>
      <c r="H6" s="348"/>
      <c r="I6" s="348"/>
    </row>
    <row r="7" spans="1:9" ht="15">
      <c r="A7" s="258" t="s">
        <v>279</v>
      </c>
      <c r="B7" s="348"/>
      <c r="C7" s="348"/>
      <c r="D7" s="348"/>
      <c r="E7" s="348"/>
      <c r="F7" s="348"/>
      <c r="G7" s="348"/>
      <c r="H7" s="348"/>
      <c r="I7" s="348"/>
    </row>
    <row r="8" spans="1:9" ht="15" customHeight="1">
      <c r="A8" s="373" t="s">
        <v>257</v>
      </c>
      <c r="B8" s="373"/>
      <c r="C8" s="373"/>
      <c r="D8" s="373"/>
      <c r="E8" s="373"/>
      <c r="F8" s="348"/>
      <c r="G8" s="348"/>
      <c r="H8" s="348"/>
      <c r="I8" s="348"/>
    </row>
    <row r="9" spans="1:6" ht="15">
      <c r="A9" s="95"/>
      <c r="B9" s="95"/>
      <c r="C9" s="95"/>
      <c r="E9" s="95"/>
      <c r="F9" s="95"/>
    </row>
    <row r="10" spans="1:2" ht="15">
      <c r="A10" s="190" t="s">
        <v>134</v>
      </c>
      <c r="B10" s="391">
        <f>HLOOKUP('Main calculation'!$B$34,'Monetary Values'!$D$3:$G$67,35,FALSE)</f>
        <v>91103.89610418765</v>
      </c>
    </row>
    <row r="12" spans="2:8" ht="18.75">
      <c r="B12" s="306" t="s">
        <v>1</v>
      </c>
      <c r="C12" s="307"/>
      <c r="D12" s="307"/>
      <c r="E12" s="109"/>
      <c r="F12" s="308" t="s">
        <v>2</v>
      </c>
      <c r="G12" s="309"/>
      <c r="H12" s="309"/>
    </row>
    <row r="13" spans="2:9" ht="60">
      <c r="B13" s="345" t="s">
        <v>0</v>
      </c>
      <c r="C13" s="336" t="s">
        <v>105</v>
      </c>
      <c r="D13" s="336" t="s">
        <v>292</v>
      </c>
      <c r="E13" s="109"/>
      <c r="F13" s="92" t="s">
        <v>0</v>
      </c>
      <c r="G13" s="336" t="s">
        <v>105</v>
      </c>
      <c r="H13" s="336" t="s">
        <v>292</v>
      </c>
      <c r="I13" s="3"/>
    </row>
    <row r="14" spans="1:9" ht="15">
      <c r="A14" s="256">
        <f>IF('Main calculation'!$B$36=2013,"Starting year --&gt;","")</f>
      </c>
      <c r="B14" s="92">
        <f>'Main calculation'!C43</f>
        <v>2013</v>
      </c>
      <c r="C14" s="93"/>
      <c r="D14" s="392">
        <f>C14*$B$10</f>
        <v>0</v>
      </c>
      <c r="E14" s="411"/>
      <c r="F14" s="345">
        <f>'Main calculation'!C43</f>
        <v>2013</v>
      </c>
      <c r="G14" s="93"/>
      <c r="H14" s="392">
        <f>G14*$B$10</f>
        <v>0</v>
      </c>
      <c r="I14" s="163"/>
    </row>
    <row r="15" spans="1:9" ht="15">
      <c r="A15" s="256" t="str">
        <f>IF('Main calculation'!$B$36=2014,"Starting year --&gt;","")</f>
        <v>Starting year --&gt;</v>
      </c>
      <c r="B15" s="92">
        <f>'Main calculation'!C44</f>
        <v>2014</v>
      </c>
      <c r="C15" s="93">
        <v>4</v>
      </c>
      <c r="D15" s="392">
        <f>C15*$B$10</f>
        <v>364415.5844167506</v>
      </c>
      <c r="E15" s="411"/>
      <c r="F15" s="345">
        <f>'Main calculation'!C44</f>
        <v>2014</v>
      </c>
      <c r="G15" s="93">
        <v>2</v>
      </c>
      <c r="H15" s="392">
        <f>G15*$B$10</f>
        <v>182207.7922083753</v>
      </c>
      <c r="I15" s="163"/>
    </row>
    <row r="16" spans="1:8" ht="15">
      <c r="A16" s="256">
        <f>IF('Main calculation'!$B$36=2015,"Starting year --&gt;","")</f>
      </c>
      <c r="B16" s="92">
        <f>'Main calculation'!C45</f>
        <v>2015</v>
      </c>
      <c r="C16" s="93">
        <v>4</v>
      </c>
      <c r="D16" s="392">
        <f aca="true" t="shared" si="0" ref="D16:D31">C16*$B$10</f>
        <v>364415.5844167506</v>
      </c>
      <c r="E16" s="411"/>
      <c r="F16" s="345">
        <f>'Main calculation'!C45</f>
        <v>2015</v>
      </c>
      <c r="G16" s="93">
        <v>2</v>
      </c>
      <c r="H16" s="392">
        <f>G16*$B$10</f>
        <v>182207.7922083753</v>
      </c>
    </row>
    <row r="17" spans="1:8" ht="15">
      <c r="A17" s="256">
        <f>IF('Main calculation'!$B$36=2016,"Starting year --&gt;","")</f>
      </c>
      <c r="B17" s="92">
        <f>'Main calculation'!C46</f>
        <v>2016</v>
      </c>
      <c r="C17" s="93">
        <v>4</v>
      </c>
      <c r="D17" s="392">
        <f t="shared" si="0"/>
        <v>364415.5844167506</v>
      </c>
      <c r="E17" s="411"/>
      <c r="F17" s="345">
        <f>'Main calculation'!C46</f>
        <v>2016</v>
      </c>
      <c r="G17" s="93">
        <v>2</v>
      </c>
      <c r="H17" s="392">
        <f aca="true" t="shared" si="1" ref="H17:H31">G17*$B$10</f>
        <v>182207.7922083753</v>
      </c>
    </row>
    <row r="18" spans="1:8" ht="15">
      <c r="A18" s="256">
        <f>IF('Main calculation'!$B$36=2017,"Starting year --&gt;","")</f>
      </c>
      <c r="B18" s="92">
        <f>'Main calculation'!C47</f>
        <v>2017</v>
      </c>
      <c r="C18" s="93">
        <v>4</v>
      </c>
      <c r="D18" s="392">
        <f t="shared" si="0"/>
        <v>364415.5844167506</v>
      </c>
      <c r="E18" s="411"/>
      <c r="F18" s="345">
        <f>'Main calculation'!C47</f>
        <v>2017</v>
      </c>
      <c r="G18" s="93">
        <v>2</v>
      </c>
      <c r="H18" s="392">
        <f t="shared" si="1"/>
        <v>182207.7922083753</v>
      </c>
    </row>
    <row r="19" spans="1:8" ht="15">
      <c r="A19" s="256">
        <f>IF('Main calculation'!$B$36=2018,"Starting year --&gt;","")</f>
      </c>
      <c r="B19" s="92">
        <f>'Main calculation'!C48</f>
        <v>2018</v>
      </c>
      <c r="C19" s="93">
        <v>4</v>
      </c>
      <c r="D19" s="392">
        <f t="shared" si="0"/>
        <v>364415.5844167506</v>
      </c>
      <c r="E19" s="411"/>
      <c r="F19" s="345">
        <f>'Main calculation'!C48</f>
        <v>2018</v>
      </c>
      <c r="G19" s="93">
        <v>2</v>
      </c>
      <c r="H19" s="392">
        <f t="shared" si="1"/>
        <v>182207.7922083753</v>
      </c>
    </row>
    <row r="20" spans="1:8" ht="15">
      <c r="A20" s="256">
        <f>IF('Main calculation'!$B$36=2019,"Starting year --&gt;","")</f>
      </c>
      <c r="B20" s="92">
        <f>'Main calculation'!C49</f>
        <v>2019</v>
      </c>
      <c r="C20" s="93">
        <v>4</v>
      </c>
      <c r="D20" s="392">
        <f t="shared" si="0"/>
        <v>364415.5844167506</v>
      </c>
      <c r="E20" s="411"/>
      <c r="F20" s="345">
        <f>'Main calculation'!C49</f>
        <v>2019</v>
      </c>
      <c r="G20" s="93">
        <v>2</v>
      </c>
      <c r="H20" s="392">
        <f t="shared" si="1"/>
        <v>182207.7922083753</v>
      </c>
    </row>
    <row r="21" spans="1:12" ht="15">
      <c r="A21" s="256">
        <f>IF('Main calculation'!$B$36=2020,"Starting year --&gt;","")</f>
      </c>
      <c r="B21" s="92">
        <f>'Main calculation'!C50</f>
        <v>2020</v>
      </c>
      <c r="C21" s="93">
        <v>4</v>
      </c>
      <c r="D21" s="392">
        <f t="shared" si="0"/>
        <v>364415.5844167506</v>
      </c>
      <c r="E21" s="411"/>
      <c r="F21" s="345">
        <f>'Main calculation'!C50</f>
        <v>2020</v>
      </c>
      <c r="G21" s="93">
        <v>2</v>
      </c>
      <c r="H21" s="392">
        <f t="shared" si="1"/>
        <v>182207.7922083753</v>
      </c>
      <c r="L21" s="92"/>
    </row>
    <row r="22" spans="1:8" ht="15">
      <c r="A22" s="256">
        <f>IF('Main calculation'!$B$36=2021,"Starting year --&gt;","")</f>
      </c>
      <c r="B22" s="92">
        <f>'Main calculation'!C51</f>
        <v>2021</v>
      </c>
      <c r="C22" s="93">
        <v>4</v>
      </c>
      <c r="D22" s="392">
        <f t="shared" si="0"/>
        <v>364415.5844167506</v>
      </c>
      <c r="E22" s="411"/>
      <c r="F22" s="345">
        <f>'Main calculation'!C51</f>
        <v>2021</v>
      </c>
      <c r="G22" s="93">
        <v>2</v>
      </c>
      <c r="H22" s="392">
        <f t="shared" si="1"/>
        <v>182207.7922083753</v>
      </c>
    </row>
    <row r="23" spans="1:8" ht="15">
      <c r="A23" s="256">
        <f>IF('Main calculation'!$B$36=2022,"Starting year --&gt;","")</f>
      </c>
      <c r="B23" s="92">
        <f>'Main calculation'!C52</f>
        <v>2022</v>
      </c>
      <c r="C23" s="93">
        <v>4</v>
      </c>
      <c r="D23" s="392">
        <f t="shared" si="0"/>
        <v>364415.5844167506</v>
      </c>
      <c r="E23" s="411"/>
      <c r="F23" s="345">
        <f>'Main calculation'!C52</f>
        <v>2022</v>
      </c>
      <c r="G23" s="93">
        <v>2</v>
      </c>
      <c r="H23" s="392">
        <f t="shared" si="1"/>
        <v>182207.7922083753</v>
      </c>
    </row>
    <row r="24" spans="1:8" ht="15">
      <c r="A24" s="256">
        <f>IF('Main calculation'!$B$36=2023,"Starting year --&gt;","")</f>
      </c>
      <c r="B24" s="92">
        <f>'Main calculation'!C53</f>
        <v>2023</v>
      </c>
      <c r="C24" s="93">
        <v>4</v>
      </c>
      <c r="D24" s="392">
        <f t="shared" si="0"/>
        <v>364415.5844167506</v>
      </c>
      <c r="E24" s="411"/>
      <c r="F24" s="345">
        <f>'Main calculation'!C53</f>
        <v>2023</v>
      </c>
      <c r="G24" s="93">
        <v>2</v>
      </c>
      <c r="H24" s="392">
        <f t="shared" si="1"/>
        <v>182207.7922083753</v>
      </c>
    </row>
    <row r="25" spans="1:8" ht="15">
      <c r="A25" s="256">
        <f>IF('Main calculation'!$B$36=2024,"Starting year --&gt;","")</f>
      </c>
      <c r="B25" s="92">
        <f>'Main calculation'!C54</f>
        <v>2024</v>
      </c>
      <c r="C25" s="93">
        <v>4</v>
      </c>
      <c r="D25" s="392">
        <f t="shared" si="0"/>
        <v>364415.5844167506</v>
      </c>
      <c r="E25" s="411"/>
      <c r="F25" s="345">
        <f>'Main calculation'!C54</f>
        <v>2024</v>
      </c>
      <c r="G25" s="93">
        <v>2</v>
      </c>
      <c r="H25" s="392">
        <f t="shared" si="1"/>
        <v>182207.7922083753</v>
      </c>
    </row>
    <row r="26" spans="1:8" ht="15">
      <c r="A26" s="256">
        <f>IF('Main calculation'!$B$36=2025,"Starting year --&gt;","")</f>
      </c>
      <c r="B26" s="92">
        <f>'Main calculation'!C55</f>
        <v>2025</v>
      </c>
      <c r="C26" s="93">
        <v>4</v>
      </c>
      <c r="D26" s="392">
        <f t="shared" si="0"/>
        <v>364415.5844167506</v>
      </c>
      <c r="E26" s="411"/>
      <c r="F26" s="345">
        <f>'Main calculation'!C55</f>
        <v>2025</v>
      </c>
      <c r="G26" s="93">
        <v>2</v>
      </c>
      <c r="H26" s="392">
        <f t="shared" si="1"/>
        <v>182207.7922083753</v>
      </c>
    </row>
    <row r="27" spans="1:8" ht="15">
      <c r="A27" s="256">
        <f>IF('Main calculation'!$B$36=2026,"Starting year --&gt;","")</f>
      </c>
      <c r="B27" s="92">
        <f>'Main calculation'!C56</f>
        <v>2026</v>
      </c>
      <c r="C27" s="93">
        <v>4</v>
      </c>
      <c r="D27" s="392">
        <f t="shared" si="0"/>
        <v>364415.5844167506</v>
      </c>
      <c r="E27" s="411"/>
      <c r="F27" s="345">
        <f>'Main calculation'!C56</f>
        <v>2026</v>
      </c>
      <c r="G27" s="93">
        <v>2</v>
      </c>
      <c r="H27" s="392">
        <f t="shared" si="1"/>
        <v>182207.7922083753</v>
      </c>
    </row>
    <row r="28" spans="1:8" ht="15">
      <c r="A28" s="256">
        <f>IF('Main calculation'!$B$36=2027,"Starting year --&gt;","")</f>
      </c>
      <c r="B28" s="92">
        <f>'Main calculation'!C57</f>
        <v>2027</v>
      </c>
      <c r="C28" s="93">
        <v>4</v>
      </c>
      <c r="D28" s="392">
        <f t="shared" si="0"/>
        <v>364415.5844167506</v>
      </c>
      <c r="E28" s="411"/>
      <c r="F28" s="345">
        <f>'Main calculation'!C57</f>
        <v>2027</v>
      </c>
      <c r="G28" s="93">
        <v>2</v>
      </c>
      <c r="H28" s="392">
        <f t="shared" si="1"/>
        <v>182207.7922083753</v>
      </c>
    </row>
    <row r="29" spans="1:8" ht="15">
      <c r="A29" s="256" t="str">
        <f>IF('Main calculation'!$B$37=2028,"Finishing year --&gt;","")</f>
        <v>Finishing year --&gt;</v>
      </c>
      <c r="B29" s="92">
        <f>'Main calculation'!C58</f>
        <v>2028</v>
      </c>
      <c r="C29" s="93">
        <v>4</v>
      </c>
      <c r="D29" s="392">
        <f t="shared" si="0"/>
        <v>364415.5844167506</v>
      </c>
      <c r="E29" s="411"/>
      <c r="F29" s="345">
        <f>'Main calculation'!C58</f>
        <v>2028</v>
      </c>
      <c r="G29" s="93">
        <v>2</v>
      </c>
      <c r="H29" s="392">
        <f t="shared" si="1"/>
        <v>182207.7922083753</v>
      </c>
    </row>
    <row r="30" spans="1:8" ht="15">
      <c r="A30" s="256">
        <f>IF('Main calculation'!$B$37=2029,"Finishing year --&gt;","")</f>
      </c>
      <c r="B30" s="92">
        <f>'Main calculation'!C59</f>
        <v>2029</v>
      </c>
      <c r="C30" s="93"/>
      <c r="D30" s="392">
        <f t="shared" si="0"/>
        <v>0</v>
      </c>
      <c r="E30" s="411"/>
      <c r="F30" s="345">
        <f>'Main calculation'!C59</f>
        <v>2029</v>
      </c>
      <c r="G30" s="93"/>
      <c r="H30" s="392">
        <f t="shared" si="1"/>
        <v>0</v>
      </c>
    </row>
    <row r="31" spans="1:8" ht="15">
      <c r="A31" s="256">
        <f>IF('Main calculation'!$B$37=2030,"Finishing year --&gt;","")</f>
      </c>
      <c r="B31" s="92">
        <f>'Main calculation'!C60</f>
        <v>2030</v>
      </c>
      <c r="C31" s="93"/>
      <c r="D31" s="392">
        <f t="shared" si="0"/>
        <v>0</v>
      </c>
      <c r="E31" s="411"/>
      <c r="F31" s="345">
        <f>'Main calculation'!C60</f>
        <v>2030</v>
      </c>
      <c r="G31" s="93"/>
      <c r="H31" s="392">
        <f t="shared" si="1"/>
        <v>0</v>
      </c>
    </row>
    <row r="32" ht="15">
      <c r="A32" s="256">
        <f>IF('Main calculation'!$B$37=2031,"Finishing year --&gt;","")</f>
      </c>
    </row>
    <row r="33" ht="15">
      <c r="A33" s="256">
        <f>IF('Main calculation'!$B$37=2032,"Finishing year --&gt;","")</f>
      </c>
    </row>
    <row r="34" ht="15">
      <c r="A34" s="256">
        <f>IF('Main calculation'!$B$37=2033,"Finishing year --&gt;","")</f>
      </c>
    </row>
  </sheetData>
  <sheetProtection/>
  <mergeCells count="1">
    <mergeCell ref="A3:I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Napier University Edinburgh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sb87</dc:creator>
  <cp:keywords/>
  <dc:description/>
  <cp:lastModifiedBy>Tom</cp:lastModifiedBy>
  <dcterms:created xsi:type="dcterms:W3CDTF">2009-03-26T15:40:41Z</dcterms:created>
  <dcterms:modified xsi:type="dcterms:W3CDTF">2016-04-29T15:19:06Z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